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C:\Users\pawel\3Blocks Business Dropbox\Completed\PAA eligibility\"/>
    </mc:Choice>
  </mc:AlternateContent>
  <xr:revisionPtr revIDLastSave="0" documentId="13_ncr:1_{1EECA6D8-6665-47BA-BCFE-30610F57CF44}" xr6:coauthVersionLast="47" xr6:coauthVersionMax="47" xr10:uidLastSave="{00000000-0000-0000-0000-000000000000}"/>
  <workbookProtection workbookAlgorithmName="SHA-512" workbookHashValue="+29PRzacUpgXe+2I1Piy1DDqQFU2kX4FwWI2seH1OEbxfqI6oMejKylve0e/mDUQskhjyLw+fXyI7IMuxHKWFw==" workbookSaltValue="qEJvm60cJ6SQ7psJcyUflw==" workbookSpinCount="100000" lockStructure="1"/>
  <bookViews>
    <workbookView xWindow="-96" yWindow="-96" windowWidth="23232" windowHeight="13872" tabRatio="564" xr2:uid="{00000000-000D-0000-FFFF-FFFF00000000}"/>
  </bookViews>
  <sheets>
    <sheet name="Intro" sheetId="24" r:id="rId1"/>
    <sheet name="2 years" sheetId="37" r:id="rId2"/>
    <sheet name="3 years" sheetId="32" r:id="rId3"/>
    <sheet name="4 years" sheetId="38" r:id="rId4"/>
    <sheet name="5 years" sheetId="39" r:id="rId5"/>
    <sheet name="Instructions" sheetId="36" r:id="rId6"/>
    <sheet name="Checks" sheetId="41" r:id="rId7"/>
    <sheet name="Abbrev" sheetId="27" r:id="rId8"/>
    <sheet name="PAA Rules" sheetId="28" r:id="rId9"/>
  </sheets>
  <externalReferences>
    <externalReference r:id="rId10"/>
  </externalReferences>
  <definedNames>
    <definedName name="Portfolio">[1]Settings!$C$5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64" i="39" l="1"/>
  <c r="T148" i="38"/>
  <c r="T132" i="32"/>
  <c r="T116" i="37"/>
  <c r="AJ98" i="37"/>
  <c r="AJ99" i="37"/>
  <c r="AJ101" i="37"/>
  <c r="AJ102" i="37"/>
  <c r="AJ103" i="37"/>
  <c r="AJ104" i="37"/>
  <c r="AJ97" i="37"/>
  <c r="AJ110" i="32"/>
  <c r="AJ111" i="32"/>
  <c r="AJ112" i="32"/>
  <c r="AJ113" i="32"/>
  <c r="AJ114" i="32"/>
  <c r="AJ116" i="32"/>
  <c r="AJ117" i="32"/>
  <c r="AJ118" i="32"/>
  <c r="AJ119" i="32"/>
  <c r="AJ120" i="32"/>
  <c r="AJ109" i="32"/>
  <c r="AJ122" i="38"/>
  <c r="AJ123" i="38"/>
  <c r="AJ124" i="38"/>
  <c r="AJ125" i="38"/>
  <c r="AJ126" i="38"/>
  <c r="AJ128" i="38"/>
  <c r="AJ129" i="38"/>
  <c r="AJ130" i="38"/>
  <c r="AJ131" i="38"/>
  <c r="AJ132" i="38"/>
  <c r="AJ133" i="38"/>
  <c r="AJ134" i="38"/>
  <c r="AJ135" i="38"/>
  <c r="AJ136" i="38"/>
  <c r="AJ134" i="39"/>
  <c r="AJ135" i="39"/>
  <c r="AJ136" i="39"/>
  <c r="AJ137" i="39"/>
  <c r="AJ138" i="39"/>
  <c r="AJ140" i="39"/>
  <c r="AJ141" i="39"/>
  <c r="AJ142" i="39"/>
  <c r="AJ143" i="39"/>
  <c r="AJ144" i="39"/>
  <c r="AJ145" i="39"/>
  <c r="AJ146" i="39"/>
  <c r="AJ147" i="39"/>
  <c r="AJ148" i="39"/>
  <c r="AJ149" i="39"/>
  <c r="AJ150" i="39"/>
  <c r="AJ151" i="39"/>
  <c r="AJ152" i="39"/>
  <c r="AJ133" i="39"/>
  <c r="Z101" i="39" l="1"/>
  <c r="Z70" i="39"/>
  <c r="Z39" i="39"/>
  <c r="Z93" i="38"/>
  <c r="Z66" i="38"/>
  <c r="Z39" i="38"/>
  <c r="Z39" i="32"/>
  <c r="Z85" i="32"/>
  <c r="Z62" i="32"/>
  <c r="Z77" i="37"/>
  <c r="Z58" i="37"/>
  <c r="Z39" i="37"/>
  <c r="D102" i="39"/>
  <c r="D103" i="39" s="1"/>
  <c r="D104" i="39" s="1"/>
  <c r="D105" i="39" s="1"/>
  <c r="D106" i="39" s="1"/>
  <c r="D107" i="39" s="1"/>
  <c r="D108" i="39" s="1"/>
  <c r="D109" i="39" s="1"/>
  <c r="D110" i="39" s="1"/>
  <c r="D111" i="39" s="1"/>
  <c r="D112" i="39" s="1"/>
  <c r="D113" i="39" s="1"/>
  <c r="D114" i="39" s="1"/>
  <c r="D115" i="39" s="1"/>
  <c r="D116" i="39" s="1"/>
  <c r="D117" i="39" s="1"/>
  <c r="D118" i="39" s="1"/>
  <c r="D119" i="39" s="1"/>
  <c r="D120" i="39" s="1"/>
  <c r="D121" i="39" s="1"/>
  <c r="D94" i="38"/>
  <c r="D95" i="38" s="1"/>
  <c r="D96" i="38" s="1"/>
  <c r="D97" i="38" s="1"/>
  <c r="D98" i="38" s="1"/>
  <c r="D99" i="38" s="1"/>
  <c r="D100" i="38" s="1"/>
  <c r="D101" i="38" s="1"/>
  <c r="D102" i="38" s="1"/>
  <c r="D103" i="38" s="1"/>
  <c r="D104" i="38" s="1"/>
  <c r="D105" i="38" s="1"/>
  <c r="D106" i="38" s="1"/>
  <c r="D107" i="38" s="1"/>
  <c r="D108" i="38" s="1"/>
  <c r="D109" i="38" s="1"/>
  <c r="D86" i="32"/>
  <c r="D87" i="32" s="1"/>
  <c r="D88" i="32" s="1"/>
  <c r="D89" i="32" s="1"/>
  <c r="D90" i="32" s="1"/>
  <c r="D91" i="32" s="1"/>
  <c r="D92" i="32" s="1"/>
  <c r="D93" i="32" s="1"/>
  <c r="D94" i="32" s="1"/>
  <c r="D95" i="32" s="1"/>
  <c r="D96" i="32" s="1"/>
  <c r="D97" i="32" s="1"/>
  <c r="D78" i="37"/>
  <c r="D79" i="37" s="1"/>
  <c r="D80" i="37" s="1"/>
  <c r="D81" i="37" s="1"/>
  <c r="D82" i="37" s="1"/>
  <c r="D83" i="37" s="1"/>
  <c r="D84" i="37" s="1"/>
  <c r="D85" i="37" s="1"/>
  <c r="M183" i="39"/>
  <c r="M182" i="39"/>
  <c r="M181" i="39"/>
  <c r="M180" i="39"/>
  <c r="M179" i="39"/>
  <c r="M178" i="39"/>
  <c r="M177" i="39"/>
  <c r="M176" i="39"/>
  <c r="M175" i="39"/>
  <c r="M174" i="39"/>
  <c r="M173" i="39"/>
  <c r="M172" i="39"/>
  <c r="M171" i="39"/>
  <c r="M169" i="39"/>
  <c r="M168" i="39"/>
  <c r="M167" i="39"/>
  <c r="M166" i="39"/>
  <c r="M165" i="39"/>
  <c r="M164" i="39"/>
  <c r="M163" i="38"/>
  <c r="M162" i="38"/>
  <c r="M161" i="38"/>
  <c r="M160" i="38"/>
  <c r="M159" i="38"/>
  <c r="M158" i="38"/>
  <c r="M157" i="38"/>
  <c r="M156" i="38"/>
  <c r="M155" i="38"/>
  <c r="M153" i="38"/>
  <c r="M152" i="38"/>
  <c r="M151" i="38"/>
  <c r="M150" i="38"/>
  <c r="M149" i="38"/>
  <c r="M148" i="38"/>
  <c r="M143" i="32"/>
  <c r="M142" i="32"/>
  <c r="M141" i="32"/>
  <c r="M140" i="32"/>
  <c r="M139" i="32"/>
  <c r="M137" i="32"/>
  <c r="M136" i="32"/>
  <c r="M135" i="32"/>
  <c r="M134" i="32"/>
  <c r="M133" i="32"/>
  <c r="M132" i="32"/>
  <c r="M123" i="37"/>
  <c r="M121" i="37"/>
  <c r="M118" i="37"/>
  <c r="M116" i="37"/>
  <c r="G13" i="37" l="1"/>
  <c r="F15" i="37" l="1"/>
  <c r="F15" i="38"/>
  <c r="F15" i="39"/>
  <c r="F15" i="32"/>
  <c r="W85" i="37"/>
  <c r="W77" i="37"/>
  <c r="W66" i="37"/>
  <c r="W58" i="37"/>
  <c r="W47" i="37"/>
  <c r="W39" i="37"/>
  <c r="T79" i="37"/>
  <c r="T80" i="37"/>
  <c r="T81" i="37"/>
  <c r="T82" i="37"/>
  <c r="T83" i="37"/>
  <c r="T84" i="37"/>
  <c r="T85" i="37"/>
  <c r="T78" i="37"/>
  <c r="T69" i="37"/>
  <c r="T50" i="37"/>
  <c r="U43" i="37" s="1"/>
  <c r="W97" i="32"/>
  <c r="W85" i="32"/>
  <c r="W74" i="32"/>
  <c r="W62" i="32"/>
  <c r="W51" i="32"/>
  <c r="W39" i="32"/>
  <c r="T87" i="32"/>
  <c r="T88" i="32"/>
  <c r="T89" i="32"/>
  <c r="T90" i="32"/>
  <c r="T91" i="32"/>
  <c r="T92" i="32"/>
  <c r="T93" i="32"/>
  <c r="T94" i="32"/>
  <c r="T95" i="32"/>
  <c r="T96" i="32"/>
  <c r="T97" i="32"/>
  <c r="T86" i="32"/>
  <c r="T77" i="32"/>
  <c r="T54" i="32"/>
  <c r="U42" i="32" s="1"/>
  <c r="W109" i="38"/>
  <c r="W82" i="38"/>
  <c r="W55" i="38"/>
  <c r="T95" i="38"/>
  <c r="T96" i="38"/>
  <c r="T97" i="38"/>
  <c r="T98" i="38"/>
  <c r="T99" i="38"/>
  <c r="T100" i="38"/>
  <c r="T101" i="38"/>
  <c r="T102" i="38"/>
  <c r="T103" i="38"/>
  <c r="T104" i="38"/>
  <c r="T105" i="38"/>
  <c r="T106" i="38"/>
  <c r="T107" i="38"/>
  <c r="T108" i="38"/>
  <c r="T109" i="38"/>
  <c r="T94" i="38"/>
  <c r="T85" i="38"/>
  <c r="T58" i="38"/>
  <c r="U76" i="38" l="1"/>
  <c r="U77" i="38"/>
  <c r="U78" i="38"/>
  <c r="U79" i="38"/>
  <c r="U68" i="38"/>
  <c r="U80" i="38"/>
  <c r="U69" i="38"/>
  <c r="U81" i="38"/>
  <c r="U70" i="38"/>
  <c r="U82" i="38"/>
  <c r="U71" i="38"/>
  <c r="U67" i="38"/>
  <c r="W66" i="38" s="1"/>
  <c r="U74" i="38"/>
  <c r="U72" i="38"/>
  <c r="U73" i="38"/>
  <c r="U75" i="38"/>
  <c r="U64" i="32"/>
  <c r="U65" i="32"/>
  <c r="U66" i="32"/>
  <c r="U67" i="32"/>
  <c r="U68" i="32"/>
  <c r="U69" i="32"/>
  <c r="U70" i="32"/>
  <c r="U71" i="32"/>
  <c r="U63" i="32"/>
  <c r="U72" i="32"/>
  <c r="U74" i="32"/>
  <c r="U73" i="32"/>
  <c r="U59" i="37"/>
  <c r="U65" i="37"/>
  <c r="U60" i="37"/>
  <c r="U61" i="37"/>
  <c r="U62" i="37"/>
  <c r="U66" i="37"/>
  <c r="U63" i="37"/>
  <c r="U64" i="37"/>
  <c r="U47" i="32"/>
  <c r="U49" i="32"/>
  <c r="T100" i="32"/>
  <c r="U95" i="32" s="1"/>
  <c r="T112" i="38"/>
  <c r="U94" i="38" s="1"/>
  <c r="W93" i="38" s="1"/>
  <c r="U51" i="32"/>
  <c r="U48" i="32"/>
  <c r="U41" i="32"/>
  <c r="T88" i="37"/>
  <c r="U80" i="37" s="1"/>
  <c r="U47" i="37"/>
  <c r="U46" i="37"/>
  <c r="U44" i="37"/>
  <c r="U42" i="37"/>
  <c r="U41" i="37"/>
  <c r="U40" i="37"/>
  <c r="U45" i="37"/>
  <c r="U46" i="32"/>
  <c r="U45" i="32"/>
  <c r="U40" i="32"/>
  <c r="U44" i="32"/>
  <c r="U43" i="32"/>
  <c r="U50" i="32"/>
  <c r="W121" i="39"/>
  <c r="W101" i="39"/>
  <c r="W90" i="39"/>
  <c r="W70" i="39"/>
  <c r="W59" i="39"/>
  <c r="W39" i="39"/>
  <c r="T121" i="39"/>
  <c r="T120" i="39"/>
  <c r="T119" i="39"/>
  <c r="T118" i="39"/>
  <c r="T117" i="39"/>
  <c r="T116" i="39"/>
  <c r="T115" i="39"/>
  <c r="T114" i="39"/>
  <c r="T113" i="39"/>
  <c r="T112" i="39"/>
  <c r="T111" i="39"/>
  <c r="T110" i="39"/>
  <c r="T109" i="39"/>
  <c r="T108" i="39"/>
  <c r="T107" i="39"/>
  <c r="T106" i="39"/>
  <c r="T105" i="39"/>
  <c r="T104" i="39"/>
  <c r="T103" i="39"/>
  <c r="T102" i="39"/>
  <c r="T62" i="39"/>
  <c r="U58" i="39" s="1"/>
  <c r="U97" i="32" l="1"/>
  <c r="U96" i="32"/>
  <c r="U89" i="32"/>
  <c r="U97" i="38"/>
  <c r="U101" i="38"/>
  <c r="U102" i="38"/>
  <c r="U104" i="38"/>
  <c r="U100" i="38"/>
  <c r="U109" i="38"/>
  <c r="U105" i="38"/>
  <c r="U95" i="38"/>
  <c r="U99" i="38"/>
  <c r="U106" i="38"/>
  <c r="U103" i="38"/>
  <c r="U107" i="38"/>
  <c r="U98" i="38"/>
  <c r="U96" i="38"/>
  <c r="U108" i="38"/>
  <c r="U86" i="32"/>
  <c r="U87" i="32"/>
  <c r="U90" i="32"/>
  <c r="U92" i="32"/>
  <c r="U93" i="32"/>
  <c r="U88" i="32"/>
  <c r="U91" i="32"/>
  <c r="U94" i="32"/>
  <c r="U85" i="37"/>
  <c r="U78" i="37"/>
  <c r="U79" i="37"/>
  <c r="U81" i="37"/>
  <c r="U82" i="37"/>
  <c r="U83" i="37"/>
  <c r="U84" i="37"/>
  <c r="U85" i="38"/>
  <c r="U54" i="32"/>
  <c r="U77" i="32"/>
  <c r="U50" i="37"/>
  <c r="U69" i="37"/>
  <c r="U57" i="39"/>
  <c r="U59" i="39"/>
  <c r="U45" i="39"/>
  <c r="U46" i="39"/>
  <c r="U51" i="39"/>
  <c r="U53" i="39"/>
  <c r="U55" i="39"/>
  <c r="U56" i="39"/>
  <c r="U41" i="39"/>
  <c r="U43" i="39"/>
  <c r="U44" i="39"/>
  <c r="U48" i="39"/>
  <c r="U50" i="39"/>
  <c r="U40" i="39"/>
  <c r="U52" i="39"/>
  <c r="U42" i="39"/>
  <c r="U54" i="39"/>
  <c r="T124" i="39"/>
  <c r="U108" i="39" s="1"/>
  <c r="U47" i="39"/>
  <c r="U49" i="39"/>
  <c r="T93" i="39"/>
  <c r="U112" i="38" l="1"/>
  <c r="U100" i="32"/>
  <c r="U88" i="37"/>
  <c r="U113" i="39"/>
  <c r="U103" i="39"/>
  <c r="U114" i="39"/>
  <c r="U115" i="39"/>
  <c r="U109" i="39"/>
  <c r="U118" i="39"/>
  <c r="U117" i="39"/>
  <c r="U76" i="39"/>
  <c r="U88" i="39"/>
  <c r="U77" i="39"/>
  <c r="U89" i="39"/>
  <c r="U78" i="39"/>
  <c r="U90" i="39"/>
  <c r="U79" i="39"/>
  <c r="U71" i="39"/>
  <c r="U80" i="39"/>
  <c r="U81" i="39"/>
  <c r="U86" i="39"/>
  <c r="U82" i="39"/>
  <c r="U83" i="39"/>
  <c r="U72" i="39"/>
  <c r="U84" i="39"/>
  <c r="U74" i="39"/>
  <c r="U73" i="39"/>
  <c r="U85" i="39"/>
  <c r="U75" i="39"/>
  <c r="U87" i="39"/>
  <c r="U105" i="39"/>
  <c r="U116" i="39"/>
  <c r="U120" i="39"/>
  <c r="U102" i="39"/>
  <c r="U111" i="39"/>
  <c r="U119" i="39"/>
  <c r="U112" i="39"/>
  <c r="U110" i="39"/>
  <c r="U106" i="39"/>
  <c r="U121" i="39"/>
  <c r="U107" i="39"/>
  <c r="U104" i="39"/>
  <c r="U62" i="39"/>
  <c r="T176" i="39"/>
  <c r="T177" i="39"/>
  <c r="T178" i="39"/>
  <c r="T179" i="39"/>
  <c r="T180" i="39"/>
  <c r="T181" i="39"/>
  <c r="T182" i="39"/>
  <c r="T183" i="39"/>
  <c r="AH145" i="39"/>
  <c r="AH146" i="39"/>
  <c r="AH147" i="39"/>
  <c r="AH148" i="39"/>
  <c r="AH149" i="39"/>
  <c r="AH150" i="39"/>
  <c r="AH151" i="39"/>
  <c r="AH152" i="39"/>
  <c r="X145" i="39"/>
  <c r="X146" i="39"/>
  <c r="X147" i="39"/>
  <c r="X148" i="39"/>
  <c r="X149" i="39"/>
  <c r="X150" i="39"/>
  <c r="X151" i="39"/>
  <c r="X152" i="39"/>
  <c r="F145" i="39"/>
  <c r="K145" i="39"/>
  <c r="L145" i="39"/>
  <c r="P145" i="39"/>
  <c r="S145" i="39"/>
  <c r="T145" i="39"/>
  <c r="F146" i="39"/>
  <c r="K146" i="39"/>
  <c r="L146" i="39"/>
  <c r="P146" i="39"/>
  <c r="S146" i="39"/>
  <c r="T146" i="39"/>
  <c r="F147" i="39"/>
  <c r="K147" i="39"/>
  <c r="L147" i="39"/>
  <c r="P147" i="39"/>
  <c r="S147" i="39"/>
  <c r="T147" i="39"/>
  <c r="F148" i="39"/>
  <c r="K148" i="39"/>
  <c r="L148" i="39"/>
  <c r="P148" i="39"/>
  <c r="S148" i="39"/>
  <c r="T148" i="39"/>
  <c r="F149" i="39"/>
  <c r="K149" i="39"/>
  <c r="L149" i="39"/>
  <c r="P149" i="39"/>
  <c r="S149" i="39"/>
  <c r="T149" i="39"/>
  <c r="F150" i="39"/>
  <c r="K150" i="39"/>
  <c r="L150" i="39"/>
  <c r="P150" i="39"/>
  <c r="S150" i="39"/>
  <c r="T150" i="39"/>
  <c r="F151" i="39"/>
  <c r="K151" i="39"/>
  <c r="L151" i="39"/>
  <c r="P151" i="39"/>
  <c r="S151" i="39"/>
  <c r="T151" i="39"/>
  <c r="F152" i="39"/>
  <c r="K152" i="39"/>
  <c r="L152" i="39"/>
  <c r="P152" i="39"/>
  <c r="S152" i="39"/>
  <c r="T152" i="39"/>
  <c r="O114" i="39"/>
  <c r="O115" i="39"/>
  <c r="O116" i="39"/>
  <c r="O117" i="39"/>
  <c r="O118" i="39"/>
  <c r="O119" i="39"/>
  <c r="O120" i="39"/>
  <c r="O121" i="39"/>
  <c r="F114" i="39"/>
  <c r="J114" i="39"/>
  <c r="F115" i="39"/>
  <c r="J115" i="39"/>
  <c r="F116" i="39"/>
  <c r="J116" i="39"/>
  <c r="F117" i="39"/>
  <c r="J117" i="39"/>
  <c r="F118" i="39"/>
  <c r="J118" i="39"/>
  <c r="F119" i="39"/>
  <c r="J119" i="39"/>
  <c r="F120" i="39"/>
  <c r="J120" i="39"/>
  <c r="F121" i="39"/>
  <c r="J121" i="39"/>
  <c r="F83" i="39"/>
  <c r="F84" i="39"/>
  <c r="F85" i="39"/>
  <c r="F86" i="39"/>
  <c r="F87" i="39"/>
  <c r="F88" i="39"/>
  <c r="F89" i="39"/>
  <c r="F90" i="39"/>
  <c r="F52" i="39"/>
  <c r="W52" i="39" s="1"/>
  <c r="F53" i="39"/>
  <c r="W53" i="39" s="1"/>
  <c r="F54" i="39"/>
  <c r="W54" i="39" s="1"/>
  <c r="F55" i="39"/>
  <c r="W55" i="39" s="1"/>
  <c r="F56" i="39"/>
  <c r="W56" i="39" s="1"/>
  <c r="F57" i="39"/>
  <c r="W57" i="39" s="1"/>
  <c r="F58" i="39"/>
  <c r="W58" i="39" s="1"/>
  <c r="F59" i="39"/>
  <c r="T175" i="39"/>
  <c r="T174" i="39"/>
  <c r="T173" i="39"/>
  <c r="T172" i="39"/>
  <c r="T171" i="39"/>
  <c r="T170" i="39"/>
  <c r="T169" i="39"/>
  <c r="T168" i="39"/>
  <c r="T167" i="39"/>
  <c r="T166" i="39"/>
  <c r="T165" i="39"/>
  <c r="R164" i="39"/>
  <c r="AH144" i="39"/>
  <c r="X144" i="39"/>
  <c r="T144" i="39"/>
  <c r="S144" i="39"/>
  <c r="P144" i="39"/>
  <c r="L144" i="39"/>
  <c r="K144" i="39"/>
  <c r="F144" i="39"/>
  <c r="AH143" i="39"/>
  <c r="X143" i="39"/>
  <c r="T143" i="39"/>
  <c r="S143" i="39"/>
  <c r="P143" i="39"/>
  <c r="L143" i="39"/>
  <c r="K143" i="39"/>
  <c r="F143" i="39"/>
  <c r="AH142" i="39"/>
  <c r="X142" i="39"/>
  <c r="T142" i="39"/>
  <c r="S142" i="39"/>
  <c r="P142" i="39"/>
  <c r="L142" i="39"/>
  <c r="K142" i="39"/>
  <c r="F142" i="39"/>
  <c r="AH141" i="39"/>
  <c r="X141" i="39"/>
  <c r="T141" i="39"/>
  <c r="S141" i="39"/>
  <c r="P141" i="39"/>
  <c r="L141" i="39"/>
  <c r="K141" i="39"/>
  <c r="F141" i="39"/>
  <c r="AH140" i="39"/>
  <c r="X140" i="39"/>
  <c r="T140" i="39"/>
  <c r="S140" i="39"/>
  <c r="P140" i="39"/>
  <c r="L140" i="39"/>
  <c r="K140" i="39"/>
  <c r="F140" i="39"/>
  <c r="AH139" i="39"/>
  <c r="X139" i="39"/>
  <c r="P139" i="39"/>
  <c r="F139" i="39"/>
  <c r="AH138" i="39"/>
  <c r="X138" i="39"/>
  <c r="T138" i="39"/>
  <c r="S138" i="39"/>
  <c r="P138" i="39"/>
  <c r="L138" i="39"/>
  <c r="K138" i="39"/>
  <c r="F138" i="39"/>
  <c r="AH137" i="39"/>
  <c r="X137" i="39"/>
  <c r="P137" i="39"/>
  <c r="F137" i="39"/>
  <c r="AH136" i="39"/>
  <c r="X136" i="39"/>
  <c r="T136" i="39"/>
  <c r="S136" i="39"/>
  <c r="P136" i="39"/>
  <c r="L136" i="39"/>
  <c r="K136" i="39"/>
  <c r="F136" i="39"/>
  <c r="AH135" i="39"/>
  <c r="X135" i="39"/>
  <c r="T135" i="39"/>
  <c r="S135" i="39"/>
  <c r="P135" i="39"/>
  <c r="L135" i="39"/>
  <c r="K135" i="39"/>
  <c r="F135" i="39"/>
  <c r="AH134" i="39"/>
  <c r="X134" i="39"/>
  <c r="T134" i="39"/>
  <c r="S134" i="39"/>
  <c r="P134" i="39"/>
  <c r="L134" i="39"/>
  <c r="K134" i="39"/>
  <c r="F134" i="39"/>
  <c r="AG133" i="39"/>
  <c r="W133" i="39"/>
  <c r="T133" i="39"/>
  <c r="S133" i="39"/>
  <c r="O133" i="39"/>
  <c r="L133" i="39"/>
  <c r="K133" i="39"/>
  <c r="E133" i="39"/>
  <c r="O113" i="39"/>
  <c r="J113" i="39"/>
  <c r="F113" i="39"/>
  <c r="O112" i="39"/>
  <c r="J112" i="39"/>
  <c r="F112" i="39"/>
  <c r="O111" i="39"/>
  <c r="J111" i="39"/>
  <c r="F111" i="39"/>
  <c r="O110" i="39"/>
  <c r="J110" i="39"/>
  <c r="F110" i="39"/>
  <c r="O109" i="39"/>
  <c r="J109" i="39"/>
  <c r="F109" i="39"/>
  <c r="O108" i="39"/>
  <c r="J108" i="39"/>
  <c r="F108" i="39"/>
  <c r="O107" i="39"/>
  <c r="J107" i="39"/>
  <c r="F107" i="39"/>
  <c r="O106" i="39"/>
  <c r="J106" i="39"/>
  <c r="F106" i="39"/>
  <c r="O105" i="39"/>
  <c r="J105" i="39"/>
  <c r="F105" i="39"/>
  <c r="O104" i="39"/>
  <c r="J104" i="39"/>
  <c r="F104" i="39"/>
  <c r="O103" i="39"/>
  <c r="J103" i="39"/>
  <c r="F103" i="39"/>
  <c r="O102" i="39"/>
  <c r="J102" i="39"/>
  <c r="F102" i="39"/>
  <c r="AG102" i="39"/>
  <c r="O93" i="39"/>
  <c r="P80" i="39" s="1"/>
  <c r="J93" i="39"/>
  <c r="F82" i="39"/>
  <c r="F81" i="39"/>
  <c r="F80" i="39"/>
  <c r="F79" i="39"/>
  <c r="F78" i="39"/>
  <c r="F77" i="39"/>
  <c r="F76" i="39"/>
  <c r="F75" i="39"/>
  <c r="F74" i="39"/>
  <c r="F73" i="39"/>
  <c r="F72" i="39"/>
  <c r="F71" i="39"/>
  <c r="D71" i="39"/>
  <c r="D72" i="39" s="1"/>
  <c r="AG72" i="39" s="1"/>
  <c r="O62" i="39"/>
  <c r="P51" i="39" s="1"/>
  <c r="J62" i="39"/>
  <c r="K52" i="39" s="1"/>
  <c r="F51" i="39"/>
  <c r="F50" i="39"/>
  <c r="W50" i="39" s="1"/>
  <c r="F49" i="39"/>
  <c r="W49" i="39" s="1"/>
  <c r="F48" i="39"/>
  <c r="W48" i="39" s="1"/>
  <c r="F47" i="39"/>
  <c r="W47" i="39" s="1"/>
  <c r="F46" i="39"/>
  <c r="W46" i="39" s="1"/>
  <c r="F45" i="39"/>
  <c r="W45" i="39" s="1"/>
  <c r="F44" i="39"/>
  <c r="W44" i="39" s="1"/>
  <c r="F43" i="39"/>
  <c r="W43" i="39" s="1"/>
  <c r="F42" i="39"/>
  <c r="W42" i="39" s="1"/>
  <c r="F41" i="39"/>
  <c r="W41" i="39" s="1"/>
  <c r="F40" i="39"/>
  <c r="W40" i="39" s="1"/>
  <c r="D40" i="39"/>
  <c r="AG40" i="39" s="1"/>
  <c r="G13" i="39"/>
  <c r="G15" i="39" s="1"/>
  <c r="T156" i="38"/>
  <c r="T157" i="38"/>
  <c r="T158" i="38"/>
  <c r="T159" i="38"/>
  <c r="T160" i="38"/>
  <c r="T161" i="38"/>
  <c r="T162" i="38"/>
  <c r="T163" i="38"/>
  <c r="AH129" i="38"/>
  <c r="AH130" i="38"/>
  <c r="AH131" i="38"/>
  <c r="AH132" i="38"/>
  <c r="AH133" i="38"/>
  <c r="AH134" i="38"/>
  <c r="AH135" i="38"/>
  <c r="AH136" i="38"/>
  <c r="X133" i="38"/>
  <c r="X134" i="38"/>
  <c r="X135" i="38"/>
  <c r="X136" i="38"/>
  <c r="X129" i="38"/>
  <c r="X130" i="38"/>
  <c r="X131" i="38"/>
  <c r="X132" i="38"/>
  <c r="P129" i="38"/>
  <c r="S129" i="38"/>
  <c r="T129" i="38"/>
  <c r="P130" i="38"/>
  <c r="S130" i="38"/>
  <c r="T130" i="38"/>
  <c r="P131" i="38"/>
  <c r="S131" i="38"/>
  <c r="T131" i="38"/>
  <c r="P132" i="38"/>
  <c r="S132" i="38"/>
  <c r="T132" i="38"/>
  <c r="P133" i="38"/>
  <c r="S133" i="38"/>
  <c r="T133" i="38"/>
  <c r="P134" i="38"/>
  <c r="S134" i="38"/>
  <c r="T134" i="38"/>
  <c r="P135" i="38"/>
  <c r="S135" i="38"/>
  <c r="T135" i="38"/>
  <c r="P136" i="38"/>
  <c r="S136" i="38"/>
  <c r="T136" i="38"/>
  <c r="F129" i="38"/>
  <c r="K129" i="38"/>
  <c r="L129" i="38"/>
  <c r="F130" i="38"/>
  <c r="K130" i="38"/>
  <c r="L130" i="38"/>
  <c r="F131" i="38"/>
  <c r="K131" i="38"/>
  <c r="L131" i="38"/>
  <c r="F132" i="38"/>
  <c r="K132" i="38"/>
  <c r="L132" i="38"/>
  <c r="F133" i="38"/>
  <c r="K133" i="38"/>
  <c r="L133" i="38"/>
  <c r="F134" i="38"/>
  <c r="K134" i="38"/>
  <c r="L134" i="38"/>
  <c r="F135" i="38"/>
  <c r="K135" i="38"/>
  <c r="L135" i="38"/>
  <c r="F136" i="38"/>
  <c r="K136" i="38"/>
  <c r="L136" i="38"/>
  <c r="J102" i="38"/>
  <c r="O102" i="38"/>
  <c r="J103" i="38"/>
  <c r="O103" i="38"/>
  <c r="J104" i="38"/>
  <c r="O104" i="38"/>
  <c r="J105" i="38"/>
  <c r="O105" i="38"/>
  <c r="J106" i="38"/>
  <c r="O106" i="38"/>
  <c r="J107" i="38"/>
  <c r="O107" i="38"/>
  <c r="J108" i="38"/>
  <c r="O108" i="38"/>
  <c r="J109" i="38"/>
  <c r="O109" i="38"/>
  <c r="F102" i="38"/>
  <c r="F103" i="38"/>
  <c r="F104" i="38"/>
  <c r="F105" i="38"/>
  <c r="F106" i="38"/>
  <c r="F107" i="38"/>
  <c r="F108" i="38"/>
  <c r="F109" i="38"/>
  <c r="F75" i="38"/>
  <c r="F76" i="38"/>
  <c r="F77" i="38"/>
  <c r="F78" i="38"/>
  <c r="F79" i="38"/>
  <c r="F80" i="38"/>
  <c r="F81" i="38"/>
  <c r="F82" i="38"/>
  <c r="F48" i="38"/>
  <c r="F49" i="38"/>
  <c r="F50" i="38"/>
  <c r="F51" i="38"/>
  <c r="F52" i="38"/>
  <c r="F53" i="38"/>
  <c r="F54" i="38"/>
  <c r="F55" i="38"/>
  <c r="T155" i="38"/>
  <c r="T154" i="38"/>
  <c r="T153" i="38"/>
  <c r="T152" i="38"/>
  <c r="T151" i="38"/>
  <c r="T150" i="38"/>
  <c r="T149" i="38"/>
  <c r="R148" i="38"/>
  <c r="AH128" i="38"/>
  <c r="X128" i="38"/>
  <c r="T128" i="38"/>
  <c r="S128" i="38"/>
  <c r="P128" i="38"/>
  <c r="L128" i="38"/>
  <c r="K128" i="38"/>
  <c r="F128" i="38"/>
  <c r="AH127" i="38"/>
  <c r="X127" i="38"/>
  <c r="P127" i="38"/>
  <c r="F127" i="38"/>
  <c r="AH126" i="38"/>
  <c r="X126" i="38"/>
  <c r="T126" i="38"/>
  <c r="S126" i="38"/>
  <c r="P126" i="38"/>
  <c r="L126" i="38"/>
  <c r="K126" i="38"/>
  <c r="F126" i="38"/>
  <c r="AH125" i="38"/>
  <c r="X125" i="38"/>
  <c r="T125" i="38"/>
  <c r="S125" i="38"/>
  <c r="P125" i="38"/>
  <c r="L125" i="38"/>
  <c r="K125" i="38"/>
  <c r="F125" i="38"/>
  <c r="AH124" i="38"/>
  <c r="X124" i="38"/>
  <c r="T124" i="38"/>
  <c r="S124" i="38"/>
  <c r="P124" i="38"/>
  <c r="L124" i="38"/>
  <c r="K124" i="38"/>
  <c r="F124" i="38"/>
  <c r="AH123" i="38"/>
  <c r="X123" i="38"/>
  <c r="T123" i="38"/>
  <c r="S123" i="38"/>
  <c r="P123" i="38"/>
  <c r="L123" i="38"/>
  <c r="K123" i="38"/>
  <c r="F123" i="38"/>
  <c r="AH122" i="38"/>
  <c r="X122" i="38"/>
  <c r="T122" i="38"/>
  <c r="S122" i="38"/>
  <c r="P122" i="38"/>
  <c r="L122" i="38"/>
  <c r="K122" i="38"/>
  <c r="F122" i="38"/>
  <c r="AG121" i="38"/>
  <c r="W121" i="38"/>
  <c r="T121" i="38"/>
  <c r="S121" i="38"/>
  <c r="O121" i="38"/>
  <c r="L121" i="38"/>
  <c r="K121" i="38"/>
  <c r="E121" i="38"/>
  <c r="O101" i="38"/>
  <c r="J101" i="38"/>
  <c r="F101" i="38"/>
  <c r="O100" i="38"/>
  <c r="J100" i="38"/>
  <c r="F100" i="38"/>
  <c r="O99" i="38"/>
  <c r="J99" i="38"/>
  <c r="F99" i="38"/>
  <c r="O98" i="38"/>
  <c r="J98" i="38"/>
  <c r="F98" i="38"/>
  <c r="O97" i="38"/>
  <c r="J97" i="38"/>
  <c r="F97" i="38"/>
  <c r="O96" i="38"/>
  <c r="J96" i="38"/>
  <c r="F96" i="38"/>
  <c r="O95" i="38"/>
  <c r="J95" i="38"/>
  <c r="F95" i="38"/>
  <c r="O94" i="38"/>
  <c r="J94" i="38"/>
  <c r="F94" i="38"/>
  <c r="O85" i="38"/>
  <c r="P72" i="38" s="1"/>
  <c r="J85" i="38"/>
  <c r="K75" i="38" s="1"/>
  <c r="F74" i="38"/>
  <c r="F73" i="38"/>
  <c r="F72" i="38"/>
  <c r="F71" i="38"/>
  <c r="F70" i="38"/>
  <c r="F69" i="38"/>
  <c r="F68" i="38"/>
  <c r="F67" i="38"/>
  <c r="D67" i="38"/>
  <c r="AD66" i="38"/>
  <c r="O58" i="38"/>
  <c r="P48" i="38" s="1"/>
  <c r="J58" i="38"/>
  <c r="K48" i="38" s="1"/>
  <c r="F47" i="38"/>
  <c r="F46" i="38"/>
  <c r="F45" i="38"/>
  <c r="F44" i="38"/>
  <c r="F43" i="38"/>
  <c r="F42" i="38"/>
  <c r="F41" i="38"/>
  <c r="F40" i="38"/>
  <c r="D40" i="38"/>
  <c r="D41" i="38" s="1"/>
  <c r="G13" i="38"/>
  <c r="G15" i="38" s="1"/>
  <c r="X72" i="38" l="1"/>
  <c r="Y72" i="38"/>
  <c r="U124" i="39"/>
  <c r="U93" i="39"/>
  <c r="X80" i="39"/>
  <c r="Y80" i="39"/>
  <c r="W80" i="39"/>
  <c r="W118" i="39"/>
  <c r="W86" i="39"/>
  <c r="W103" i="39"/>
  <c r="AA103" i="39" s="1"/>
  <c r="W111" i="39"/>
  <c r="W85" i="39"/>
  <c r="W117" i="39"/>
  <c r="W78" i="39"/>
  <c r="W79" i="39"/>
  <c r="W83" i="39"/>
  <c r="W116" i="39"/>
  <c r="W112" i="39"/>
  <c r="S175" i="39" s="1"/>
  <c r="W81" i="39"/>
  <c r="W82" i="39"/>
  <c r="W114" i="39"/>
  <c r="W108" i="39"/>
  <c r="G140" i="39" s="1"/>
  <c r="W71" i="39"/>
  <c r="AA71" i="39" s="1"/>
  <c r="AH71" i="39" s="1"/>
  <c r="W105" i="39"/>
  <c r="AA105" i="39" s="1"/>
  <c r="W109" i="39"/>
  <c r="S172" i="39" s="1"/>
  <c r="W120" i="39"/>
  <c r="W72" i="39"/>
  <c r="AA72" i="39" s="1"/>
  <c r="AH72" i="39" s="1"/>
  <c r="W104" i="39"/>
  <c r="AA104" i="39" s="1"/>
  <c r="W73" i="39"/>
  <c r="AA73" i="39" s="1"/>
  <c r="W89" i="39"/>
  <c r="W74" i="39"/>
  <c r="AA74" i="39" s="1"/>
  <c r="W102" i="39"/>
  <c r="AD102" i="39" s="1"/>
  <c r="W106" i="39"/>
  <c r="W110" i="39"/>
  <c r="W88" i="39"/>
  <c r="W75" i="39"/>
  <c r="AA75" i="39" s="1"/>
  <c r="W87" i="39"/>
  <c r="W76" i="39"/>
  <c r="AA76" i="39" s="1"/>
  <c r="W77" i="39"/>
  <c r="W107" i="39"/>
  <c r="AA107" i="39" s="1"/>
  <c r="W84" i="39"/>
  <c r="AA84" i="39" s="1"/>
  <c r="W98" i="38"/>
  <c r="W81" i="38"/>
  <c r="W102" i="38"/>
  <c r="W69" i="38"/>
  <c r="W99" i="38"/>
  <c r="W70" i="38"/>
  <c r="W77" i="38"/>
  <c r="W96" i="38"/>
  <c r="AA96" i="38" s="1"/>
  <c r="W75" i="38"/>
  <c r="W73" i="38"/>
  <c r="W72" i="38"/>
  <c r="W97" i="38"/>
  <c r="W107" i="38"/>
  <c r="W71" i="38"/>
  <c r="W76" i="38"/>
  <c r="W100" i="38"/>
  <c r="S155" i="38" s="1"/>
  <c r="W80" i="38"/>
  <c r="W94" i="38"/>
  <c r="AD94" i="38" s="1"/>
  <c r="W68" i="38"/>
  <c r="W79" i="38"/>
  <c r="W95" i="38"/>
  <c r="AA95" i="38" s="1"/>
  <c r="W78" i="38"/>
  <c r="AA78" i="38" s="1"/>
  <c r="P40" i="38"/>
  <c r="Y40" i="38" s="1"/>
  <c r="K119" i="39"/>
  <c r="G67" i="38"/>
  <c r="Q67" i="38" s="1"/>
  <c r="W67" i="38"/>
  <c r="AD67" i="38" s="1"/>
  <c r="W108" i="38"/>
  <c r="S163" i="38" s="1"/>
  <c r="G107" i="38"/>
  <c r="L107" i="38" s="1"/>
  <c r="W106" i="38"/>
  <c r="K42" i="38"/>
  <c r="P44" i="38"/>
  <c r="Y44" i="38" s="1"/>
  <c r="W105" i="38"/>
  <c r="W104" i="38"/>
  <c r="G132" i="38" s="1"/>
  <c r="G75" i="38"/>
  <c r="Q75" i="38" s="1"/>
  <c r="W74" i="38"/>
  <c r="AA76" i="38" s="1"/>
  <c r="G104" i="38"/>
  <c r="Q104" i="38" s="1"/>
  <c r="W103" i="38"/>
  <c r="G102" i="38"/>
  <c r="L102" i="38" s="1"/>
  <c r="W101" i="38"/>
  <c r="S156" i="38" s="1"/>
  <c r="AA90" i="39"/>
  <c r="AO90" i="39" s="1"/>
  <c r="G14" i="41" s="1"/>
  <c r="G121" i="39"/>
  <c r="Q121" i="39" s="1"/>
  <c r="W51" i="39"/>
  <c r="AA52" i="39" s="1"/>
  <c r="W113" i="39"/>
  <c r="G145" i="39" s="1"/>
  <c r="W119" i="39"/>
  <c r="G151" i="39" s="1"/>
  <c r="W115" i="39"/>
  <c r="S178" i="39" s="1"/>
  <c r="G119" i="39"/>
  <c r="Q119" i="39" s="1"/>
  <c r="P75" i="39"/>
  <c r="P71" i="39"/>
  <c r="P76" i="39"/>
  <c r="P72" i="39"/>
  <c r="G88" i="39"/>
  <c r="P46" i="39"/>
  <c r="X46" i="39" s="1"/>
  <c r="G76" i="39"/>
  <c r="Q76" i="39" s="1"/>
  <c r="P41" i="39"/>
  <c r="Y41" i="39" s="1"/>
  <c r="P117" i="39"/>
  <c r="K77" i="39"/>
  <c r="K73" i="39"/>
  <c r="K114" i="39"/>
  <c r="P79" i="39"/>
  <c r="G54" i="39"/>
  <c r="L54" i="39" s="1"/>
  <c r="G86" i="39"/>
  <c r="L86" i="39" s="1"/>
  <c r="P115" i="39"/>
  <c r="G117" i="39"/>
  <c r="L117" i="39" s="1"/>
  <c r="P43" i="39"/>
  <c r="Y43" i="39" s="1"/>
  <c r="G114" i="39"/>
  <c r="L114" i="39" s="1"/>
  <c r="P49" i="39"/>
  <c r="Y49" i="39" s="1"/>
  <c r="K120" i="39"/>
  <c r="K118" i="39"/>
  <c r="K116" i="39"/>
  <c r="P121" i="39"/>
  <c r="P116" i="39"/>
  <c r="G120" i="39"/>
  <c r="L120" i="39" s="1"/>
  <c r="P50" i="39"/>
  <c r="X50" i="39" s="1"/>
  <c r="G118" i="39"/>
  <c r="Q118" i="39" s="1"/>
  <c r="P120" i="39"/>
  <c r="K121" i="39"/>
  <c r="P119" i="39"/>
  <c r="P114" i="39"/>
  <c r="K117" i="39"/>
  <c r="K115" i="39"/>
  <c r="AA121" i="39"/>
  <c r="X183" i="39" s="1"/>
  <c r="G115" i="39"/>
  <c r="Q115" i="39" s="1"/>
  <c r="P118" i="39"/>
  <c r="G116" i="39"/>
  <c r="Q116" i="39" s="1"/>
  <c r="G113" i="39"/>
  <c r="L113" i="39" s="1"/>
  <c r="H40" i="39"/>
  <c r="G55" i="39"/>
  <c r="L55" i="39" s="1"/>
  <c r="G85" i="39"/>
  <c r="P107" i="39"/>
  <c r="K109" i="39"/>
  <c r="P85" i="39"/>
  <c r="G48" i="39"/>
  <c r="L48" i="39" s="1"/>
  <c r="G105" i="39"/>
  <c r="L105" i="39" s="1"/>
  <c r="G83" i="39"/>
  <c r="P89" i="39"/>
  <c r="G110" i="39"/>
  <c r="Q110" i="39" s="1"/>
  <c r="P111" i="39"/>
  <c r="P57" i="39"/>
  <c r="X57" i="39" s="1"/>
  <c r="P86" i="39"/>
  <c r="P90" i="39"/>
  <c r="P74" i="39"/>
  <c r="P77" i="39"/>
  <c r="P81" i="39"/>
  <c r="K88" i="39"/>
  <c r="K84" i="39"/>
  <c r="K75" i="39"/>
  <c r="P78" i="39"/>
  <c r="P82" i="39"/>
  <c r="P102" i="39"/>
  <c r="K89" i="39"/>
  <c r="K85" i="39"/>
  <c r="P87" i="39"/>
  <c r="P83" i="39"/>
  <c r="P110" i="39"/>
  <c r="K90" i="39"/>
  <c r="K86" i="39"/>
  <c r="P88" i="39"/>
  <c r="P84" i="39"/>
  <c r="P73" i="39"/>
  <c r="K87" i="39"/>
  <c r="K83" i="39"/>
  <c r="G90" i="39"/>
  <c r="G87" i="39"/>
  <c r="G84" i="39"/>
  <c r="G89" i="39"/>
  <c r="G74" i="39"/>
  <c r="L74" i="39" s="1"/>
  <c r="G80" i="39"/>
  <c r="Q80" i="39" s="1"/>
  <c r="G134" i="39"/>
  <c r="G104" i="39"/>
  <c r="L104" i="39" s="1"/>
  <c r="AA59" i="39"/>
  <c r="AO59" i="39" s="1"/>
  <c r="G10" i="41" s="1"/>
  <c r="G47" i="39"/>
  <c r="L47" i="39" s="1"/>
  <c r="G53" i="39"/>
  <c r="AG71" i="39"/>
  <c r="P103" i="39"/>
  <c r="G52" i="39"/>
  <c r="AA56" i="39"/>
  <c r="AA48" i="39"/>
  <c r="G82" i="39"/>
  <c r="L82" i="39" s="1"/>
  <c r="K104" i="39"/>
  <c r="G57" i="39"/>
  <c r="AD70" i="39"/>
  <c r="P54" i="39"/>
  <c r="P59" i="39"/>
  <c r="P56" i="39"/>
  <c r="P53" i="39"/>
  <c r="P40" i="39"/>
  <c r="Y40" i="39" s="1"/>
  <c r="P58" i="39"/>
  <c r="P55" i="39"/>
  <c r="P45" i="39"/>
  <c r="Y45" i="39" s="1"/>
  <c r="P52" i="39"/>
  <c r="K57" i="39"/>
  <c r="K54" i="39"/>
  <c r="K59" i="39"/>
  <c r="K56" i="39"/>
  <c r="K53" i="39"/>
  <c r="K47" i="39"/>
  <c r="K58" i="39"/>
  <c r="K55" i="39"/>
  <c r="G59" i="39"/>
  <c r="G56" i="39"/>
  <c r="G58" i="39"/>
  <c r="Y51" i="39"/>
  <c r="G102" i="39"/>
  <c r="Q102" i="39" s="1"/>
  <c r="R102" i="39" s="1"/>
  <c r="G109" i="39"/>
  <c r="L109" i="39" s="1"/>
  <c r="G43" i="39"/>
  <c r="L43" i="39" s="1"/>
  <c r="K46" i="39"/>
  <c r="P47" i="39"/>
  <c r="Y47" i="39" s="1"/>
  <c r="K49" i="39"/>
  <c r="K79" i="39"/>
  <c r="K81" i="39"/>
  <c r="G72" i="39"/>
  <c r="G108" i="39"/>
  <c r="Q108" i="39" s="1"/>
  <c r="G40" i="39"/>
  <c r="L40" i="39" s="1"/>
  <c r="M40" i="39" s="1"/>
  <c r="D41" i="39"/>
  <c r="H41" i="39" s="1"/>
  <c r="K42" i="39"/>
  <c r="P44" i="39"/>
  <c r="Y44" i="39" s="1"/>
  <c r="H72" i="39"/>
  <c r="G107" i="39"/>
  <c r="G42" i="39"/>
  <c r="L42" i="39" s="1"/>
  <c r="P42" i="39"/>
  <c r="Y42" i="39" s="1"/>
  <c r="K71" i="39"/>
  <c r="G111" i="39"/>
  <c r="Q111" i="39" s="1"/>
  <c r="K40" i="39"/>
  <c r="K41" i="39"/>
  <c r="K48" i="39"/>
  <c r="S164" i="39"/>
  <c r="AD39" i="39"/>
  <c r="AA40" i="39"/>
  <c r="X164" i="39" s="1"/>
  <c r="G50" i="39"/>
  <c r="G51" i="39"/>
  <c r="G41" i="39"/>
  <c r="AA42" i="39"/>
  <c r="X166" i="39" s="1"/>
  <c r="G44" i="39"/>
  <c r="S166" i="39"/>
  <c r="G135" i="39"/>
  <c r="K51" i="39"/>
  <c r="K45" i="39"/>
  <c r="K44" i="39"/>
  <c r="K50" i="39"/>
  <c r="K43" i="39"/>
  <c r="S167" i="39"/>
  <c r="G136" i="39"/>
  <c r="AA41" i="39"/>
  <c r="X165" i="39" s="1"/>
  <c r="K103" i="39"/>
  <c r="G46" i="39"/>
  <c r="G78" i="39"/>
  <c r="G45" i="39"/>
  <c r="P48" i="39"/>
  <c r="X51" i="39"/>
  <c r="H71" i="39"/>
  <c r="G71" i="39"/>
  <c r="K108" i="39"/>
  <c r="D73" i="39"/>
  <c r="G49" i="39"/>
  <c r="G73" i="39"/>
  <c r="G77" i="39"/>
  <c r="P106" i="39"/>
  <c r="P105" i="39"/>
  <c r="K112" i="39"/>
  <c r="P113" i="39"/>
  <c r="K102" i="39"/>
  <c r="J124" i="39"/>
  <c r="G75" i="39"/>
  <c r="G79" i="39"/>
  <c r="G81" i="39"/>
  <c r="O124" i="39"/>
  <c r="K72" i="39"/>
  <c r="K74" i="39"/>
  <c r="K76" i="39"/>
  <c r="K78" i="39"/>
  <c r="K80" i="39"/>
  <c r="K82" i="39"/>
  <c r="H102" i="39"/>
  <c r="P109" i="39"/>
  <c r="K110" i="39"/>
  <c r="P104" i="39"/>
  <c r="S169" i="39"/>
  <c r="P108" i="39"/>
  <c r="P112" i="39"/>
  <c r="AD101" i="39"/>
  <c r="G106" i="39"/>
  <c r="L106" i="39" s="1"/>
  <c r="K107" i="39"/>
  <c r="K105" i="39"/>
  <c r="K106" i="39"/>
  <c r="K111" i="39"/>
  <c r="K113" i="39"/>
  <c r="G103" i="39"/>
  <c r="Q103" i="39" s="1"/>
  <c r="G112" i="39"/>
  <c r="Q112" i="39" s="1"/>
  <c r="K70" i="38"/>
  <c r="G108" i="38"/>
  <c r="Q108" i="38" s="1"/>
  <c r="P41" i="38"/>
  <c r="X41" i="38" s="1"/>
  <c r="P45" i="38"/>
  <c r="X45" i="38" s="1"/>
  <c r="G55" i="38"/>
  <c r="Q55" i="38" s="1"/>
  <c r="G77" i="38"/>
  <c r="L77" i="38" s="1"/>
  <c r="G103" i="38"/>
  <c r="Q103" i="38" s="1"/>
  <c r="P42" i="38"/>
  <c r="X42" i="38" s="1"/>
  <c r="G50" i="38"/>
  <c r="Q50" i="38" s="1"/>
  <c r="G80" i="38"/>
  <c r="L80" i="38" s="1"/>
  <c r="AA55" i="38"/>
  <c r="AO55" i="38" s="1"/>
  <c r="F10" i="41" s="1"/>
  <c r="P108" i="38"/>
  <c r="P106" i="38"/>
  <c r="P104" i="38"/>
  <c r="P102" i="38"/>
  <c r="K108" i="38"/>
  <c r="K106" i="38"/>
  <c r="K104" i="38"/>
  <c r="K102" i="38"/>
  <c r="H94" i="38"/>
  <c r="G105" i="38"/>
  <c r="Q105" i="38" s="1"/>
  <c r="AA82" i="38"/>
  <c r="K82" i="38"/>
  <c r="P109" i="38"/>
  <c r="P107" i="38"/>
  <c r="P105" i="38"/>
  <c r="P103" i="38"/>
  <c r="AA109" i="38"/>
  <c r="X163" i="38" s="1"/>
  <c r="K109" i="38"/>
  <c r="K107" i="38"/>
  <c r="K105" i="38"/>
  <c r="K103" i="38"/>
  <c r="G78" i="38"/>
  <c r="L78" i="38" s="1"/>
  <c r="K78" i="38"/>
  <c r="G109" i="38"/>
  <c r="Q109" i="38" s="1"/>
  <c r="G106" i="38"/>
  <c r="Q106" i="38" s="1"/>
  <c r="G94" i="38"/>
  <c r="L94" i="38" s="1"/>
  <c r="P47" i="38"/>
  <c r="X47" i="38" s="1"/>
  <c r="P80" i="38"/>
  <c r="P76" i="38"/>
  <c r="X48" i="38"/>
  <c r="K40" i="38"/>
  <c r="K41" i="38"/>
  <c r="G76" i="38"/>
  <c r="P81" i="38"/>
  <c r="P77" i="38"/>
  <c r="K80" i="38"/>
  <c r="K76" i="38"/>
  <c r="P82" i="38"/>
  <c r="P78" i="38"/>
  <c r="K81" i="38"/>
  <c r="K77" i="38"/>
  <c r="P79" i="38"/>
  <c r="P75" i="38"/>
  <c r="P68" i="38"/>
  <c r="K79" i="38"/>
  <c r="G82" i="38"/>
  <c r="G79" i="38"/>
  <c r="G81" i="38"/>
  <c r="G72" i="38"/>
  <c r="Q72" i="38" s="1"/>
  <c r="K68" i="38"/>
  <c r="K72" i="38"/>
  <c r="K51" i="38"/>
  <c r="K54" i="38"/>
  <c r="P53" i="38"/>
  <c r="G74" i="38"/>
  <c r="Q74" i="38" s="1"/>
  <c r="G49" i="38"/>
  <c r="Y48" i="38"/>
  <c r="AG40" i="38"/>
  <c r="K47" i="38"/>
  <c r="G68" i="38"/>
  <c r="L68" i="38" s="1"/>
  <c r="G48" i="38"/>
  <c r="K53" i="38"/>
  <c r="H67" i="38"/>
  <c r="G53" i="38"/>
  <c r="P50" i="38"/>
  <c r="P46" i="38"/>
  <c r="X46" i="38" s="1"/>
  <c r="P55" i="38"/>
  <c r="P43" i="38"/>
  <c r="Y43" i="38" s="1"/>
  <c r="P52" i="38"/>
  <c r="P49" i="38"/>
  <c r="P54" i="38"/>
  <c r="P51" i="38"/>
  <c r="K43" i="38"/>
  <c r="K50" i="38"/>
  <c r="K55" i="38"/>
  <c r="K46" i="38"/>
  <c r="K52" i="38"/>
  <c r="K44" i="38"/>
  <c r="K49" i="38"/>
  <c r="K45" i="38"/>
  <c r="G52" i="38"/>
  <c r="G54" i="38"/>
  <c r="G51" i="38"/>
  <c r="AG41" i="38"/>
  <c r="D42" i="38"/>
  <c r="H42" i="38" s="1"/>
  <c r="G45" i="38"/>
  <c r="Q45" i="38" s="1"/>
  <c r="G46" i="38"/>
  <c r="G73" i="38"/>
  <c r="G99" i="38"/>
  <c r="Q99" i="38" s="1"/>
  <c r="AD93" i="38"/>
  <c r="G42" i="38"/>
  <c r="G40" i="38"/>
  <c r="G47" i="38"/>
  <c r="D68" i="38"/>
  <c r="H68" i="38" s="1"/>
  <c r="AG67" i="38"/>
  <c r="P101" i="38"/>
  <c r="H40" i="38"/>
  <c r="G44" i="38"/>
  <c r="AA72" i="38"/>
  <c r="G71" i="38"/>
  <c r="G41" i="38"/>
  <c r="G43" i="38"/>
  <c r="H41" i="38"/>
  <c r="G70" i="38"/>
  <c r="G69" i="38"/>
  <c r="G96" i="38"/>
  <c r="L96" i="38" s="1"/>
  <c r="G95" i="38"/>
  <c r="Q95" i="38" s="1"/>
  <c r="P70" i="38"/>
  <c r="K73" i="38"/>
  <c r="K71" i="38"/>
  <c r="K69" i="38"/>
  <c r="K67" i="38"/>
  <c r="G97" i="38"/>
  <c r="G98" i="38"/>
  <c r="Q98" i="38" s="1"/>
  <c r="K74" i="38"/>
  <c r="K95" i="38"/>
  <c r="K96" i="38"/>
  <c r="P98" i="38"/>
  <c r="K94" i="38"/>
  <c r="J112" i="38"/>
  <c r="K97" i="38"/>
  <c r="K99" i="38"/>
  <c r="K100" i="38"/>
  <c r="P73" i="38"/>
  <c r="P71" i="38"/>
  <c r="P69" i="38"/>
  <c r="P67" i="38"/>
  <c r="P99" i="38"/>
  <c r="P95" i="38"/>
  <c r="P74" i="38"/>
  <c r="K101" i="38"/>
  <c r="P94" i="38"/>
  <c r="P97" i="38"/>
  <c r="O112" i="38"/>
  <c r="P96" i="38"/>
  <c r="H95" i="38"/>
  <c r="AG94" i="38"/>
  <c r="G100" i="38"/>
  <c r="L100" i="38" s="1"/>
  <c r="G101" i="38"/>
  <c r="L101" i="38" s="1"/>
  <c r="K98" i="38"/>
  <c r="P100" i="38"/>
  <c r="T123" i="37"/>
  <c r="T122" i="37"/>
  <c r="T121" i="37"/>
  <c r="T120" i="37"/>
  <c r="T119" i="37"/>
  <c r="T118" i="37"/>
  <c r="T117" i="37"/>
  <c r="R116" i="37"/>
  <c r="AH104" i="37"/>
  <c r="X104" i="37"/>
  <c r="T104" i="37"/>
  <c r="S104" i="37"/>
  <c r="P104" i="37"/>
  <c r="L104" i="37"/>
  <c r="K104" i="37"/>
  <c r="F104" i="37"/>
  <c r="AH103" i="37"/>
  <c r="X103" i="37"/>
  <c r="P103" i="37"/>
  <c r="F103" i="37"/>
  <c r="AH102" i="37"/>
  <c r="X102" i="37"/>
  <c r="T102" i="37"/>
  <c r="S102" i="37"/>
  <c r="P102" i="37"/>
  <c r="L102" i="37"/>
  <c r="K102" i="37"/>
  <c r="F102" i="37"/>
  <c r="AH101" i="37"/>
  <c r="X101" i="37"/>
  <c r="P101" i="37"/>
  <c r="F101" i="37"/>
  <c r="AH100" i="37"/>
  <c r="X100" i="37"/>
  <c r="P100" i="37"/>
  <c r="F100" i="37"/>
  <c r="AH99" i="37"/>
  <c r="X99" i="37"/>
  <c r="T99" i="37"/>
  <c r="S99" i="37"/>
  <c r="P99" i="37"/>
  <c r="L99" i="37"/>
  <c r="K99" i="37"/>
  <c r="F99" i="37"/>
  <c r="AH98" i="37"/>
  <c r="X98" i="37"/>
  <c r="P98" i="37"/>
  <c r="F98" i="37"/>
  <c r="AG97" i="37"/>
  <c r="W97" i="37"/>
  <c r="T97" i="37"/>
  <c r="S97" i="37"/>
  <c r="O97" i="37"/>
  <c r="L97" i="37"/>
  <c r="K97" i="37"/>
  <c r="E97" i="37"/>
  <c r="O85" i="37"/>
  <c r="J85" i="37"/>
  <c r="F85" i="37"/>
  <c r="O84" i="37"/>
  <c r="J84" i="37"/>
  <c r="F84" i="37"/>
  <c r="O83" i="37"/>
  <c r="J83" i="37"/>
  <c r="F83" i="37"/>
  <c r="O82" i="37"/>
  <c r="J82" i="37"/>
  <c r="F82" i="37"/>
  <c r="O81" i="37"/>
  <c r="J81" i="37"/>
  <c r="F81" i="37"/>
  <c r="O80" i="37"/>
  <c r="J80" i="37"/>
  <c r="F80" i="37"/>
  <c r="O79" i="37"/>
  <c r="J79" i="37"/>
  <c r="F79" i="37"/>
  <c r="O78" i="37"/>
  <c r="J78" i="37"/>
  <c r="F78" i="37"/>
  <c r="AD77" i="37"/>
  <c r="O69" i="37"/>
  <c r="P66" i="37" s="1"/>
  <c r="J69" i="37"/>
  <c r="F66" i="37"/>
  <c r="F65" i="37"/>
  <c r="F64" i="37"/>
  <c r="F63" i="37"/>
  <c r="F62" i="37"/>
  <c r="F61" i="37"/>
  <c r="F60" i="37"/>
  <c r="F59" i="37"/>
  <c r="D59" i="37"/>
  <c r="AD58" i="37"/>
  <c r="O50" i="37"/>
  <c r="P46" i="37" s="1"/>
  <c r="J50" i="37"/>
  <c r="F47" i="37"/>
  <c r="F46" i="37"/>
  <c r="W46" i="37" s="1"/>
  <c r="F45" i="37"/>
  <c r="W45" i="37" s="1"/>
  <c r="F44" i="37"/>
  <c r="W44" i="37" s="1"/>
  <c r="F43" i="37"/>
  <c r="W43" i="37" s="1"/>
  <c r="F42" i="37"/>
  <c r="W42" i="37" s="1"/>
  <c r="F41" i="37"/>
  <c r="W41" i="37" s="1"/>
  <c r="F40" i="37"/>
  <c r="W40" i="37" s="1"/>
  <c r="D40" i="37"/>
  <c r="D41" i="37" s="1"/>
  <c r="G15" i="37"/>
  <c r="AA85" i="39" l="1"/>
  <c r="AA94" i="38"/>
  <c r="AH94" i="38" s="1"/>
  <c r="AA67" i="38"/>
  <c r="AH67" i="38" s="1"/>
  <c r="AA82" i="39"/>
  <c r="AA77" i="39"/>
  <c r="AA81" i="39"/>
  <c r="AA69" i="38"/>
  <c r="Y67" i="38"/>
  <c r="X67" i="38"/>
  <c r="X80" i="38"/>
  <c r="Y80" i="38"/>
  <c r="X96" i="38"/>
  <c r="Y96" i="38"/>
  <c r="X71" i="38"/>
  <c r="Y71" i="38"/>
  <c r="X103" i="38"/>
  <c r="Y103" i="38"/>
  <c r="X102" i="38"/>
  <c r="Y102" i="38"/>
  <c r="X104" i="38"/>
  <c r="Y104" i="38"/>
  <c r="X107" i="38"/>
  <c r="Y107" i="38"/>
  <c r="X106" i="38"/>
  <c r="Y106" i="38"/>
  <c r="X77" i="38"/>
  <c r="Y77" i="38"/>
  <c r="X68" i="38"/>
  <c r="Y68" i="38"/>
  <c r="AF68" i="38" s="1"/>
  <c r="X109" i="38"/>
  <c r="Y109" i="38"/>
  <c r="X97" i="38"/>
  <c r="Y97" i="38"/>
  <c r="X101" i="38"/>
  <c r="Y101" i="38"/>
  <c r="X79" i="38"/>
  <c r="Y79" i="38"/>
  <c r="G128" i="38"/>
  <c r="X108" i="38"/>
  <c r="Y108" i="38"/>
  <c r="X94" i="38"/>
  <c r="Y94" i="38"/>
  <c r="X100" i="38"/>
  <c r="Y100" i="38"/>
  <c r="X70" i="38"/>
  <c r="Y70" i="38"/>
  <c r="X105" i="38"/>
  <c r="Y105" i="38"/>
  <c r="X81" i="38"/>
  <c r="Y81" i="38"/>
  <c r="X75" i="38"/>
  <c r="Y75" i="38"/>
  <c r="L104" i="38"/>
  <c r="X74" i="38"/>
  <c r="Y74" i="38"/>
  <c r="X95" i="38"/>
  <c r="AE95" i="38" s="1"/>
  <c r="Y95" i="38"/>
  <c r="AF95" i="38" s="1"/>
  <c r="X78" i="38"/>
  <c r="Y78" i="38"/>
  <c r="Y98" i="38"/>
  <c r="X98" i="38"/>
  <c r="X99" i="38"/>
  <c r="Y99" i="38"/>
  <c r="X82" i="38"/>
  <c r="Y82" i="38"/>
  <c r="X76" i="38"/>
  <c r="Y76" i="38"/>
  <c r="X73" i="38"/>
  <c r="Y73" i="38"/>
  <c r="X69" i="38"/>
  <c r="Y69" i="38"/>
  <c r="X113" i="39"/>
  <c r="Y113" i="39"/>
  <c r="X109" i="39"/>
  <c r="Y109" i="39"/>
  <c r="Y82" i="39"/>
  <c r="X82" i="39"/>
  <c r="Y71" i="39"/>
  <c r="AF71" i="39" s="1"/>
  <c r="X71" i="39"/>
  <c r="AE71" i="39" s="1"/>
  <c r="X78" i="39"/>
  <c r="Y78" i="39"/>
  <c r="X115" i="39"/>
  <c r="Y115" i="39"/>
  <c r="X84" i="39"/>
  <c r="Y84" i="39"/>
  <c r="X116" i="39"/>
  <c r="Y116" i="39"/>
  <c r="X75" i="39"/>
  <c r="Y75" i="39"/>
  <c r="Y88" i="39"/>
  <c r="X88" i="39"/>
  <c r="X121" i="39"/>
  <c r="Y121" i="39"/>
  <c r="X89" i="39"/>
  <c r="Y89" i="39"/>
  <c r="X112" i="39"/>
  <c r="Y112" i="39"/>
  <c r="X105" i="39"/>
  <c r="Y105" i="39"/>
  <c r="X79" i="39"/>
  <c r="Y79" i="39"/>
  <c r="X108" i="39"/>
  <c r="Y108" i="39"/>
  <c r="X106" i="39"/>
  <c r="Y106" i="39"/>
  <c r="Y81" i="39"/>
  <c r="X81" i="39"/>
  <c r="X85" i="39"/>
  <c r="Y85" i="39"/>
  <c r="X110" i="39"/>
  <c r="Y110" i="39"/>
  <c r="X77" i="39"/>
  <c r="Y77" i="39"/>
  <c r="X114" i="39"/>
  <c r="Y114" i="39"/>
  <c r="X73" i="39"/>
  <c r="AE73" i="39" s="1"/>
  <c r="Y73" i="39"/>
  <c r="AF73" i="39" s="1"/>
  <c r="X118" i="39"/>
  <c r="Y118" i="39"/>
  <c r="X83" i="39"/>
  <c r="Y83" i="39"/>
  <c r="X74" i="39"/>
  <c r="Y74" i="39"/>
  <c r="X107" i="39"/>
  <c r="AB107" i="39" s="1"/>
  <c r="Y107" i="39"/>
  <c r="X119" i="39"/>
  <c r="Y119" i="39"/>
  <c r="X104" i="39"/>
  <c r="Y104" i="39"/>
  <c r="X87" i="39"/>
  <c r="Y87" i="39"/>
  <c r="X90" i="39"/>
  <c r="Y90" i="39"/>
  <c r="X86" i="39"/>
  <c r="Y86" i="39"/>
  <c r="X120" i="39"/>
  <c r="Y120" i="39"/>
  <c r="X117" i="39"/>
  <c r="Y117" i="39"/>
  <c r="X103" i="39"/>
  <c r="AE103" i="39" s="1"/>
  <c r="Y103" i="39"/>
  <c r="AF103" i="39" s="1"/>
  <c r="X72" i="39"/>
  <c r="AE72" i="39" s="1"/>
  <c r="Y72" i="39"/>
  <c r="AF72" i="39" s="1"/>
  <c r="Y102" i="39"/>
  <c r="AF102" i="39" s="1"/>
  <c r="X102" i="39"/>
  <c r="X111" i="39"/>
  <c r="Y111" i="39"/>
  <c r="Y76" i="39"/>
  <c r="X76" i="39"/>
  <c r="Y66" i="37"/>
  <c r="X66" i="37"/>
  <c r="AD72" i="39"/>
  <c r="AA68" i="38"/>
  <c r="AH68" i="38" s="1"/>
  <c r="AA108" i="38"/>
  <c r="X162" i="38" s="1"/>
  <c r="AA83" i="39"/>
  <c r="AA79" i="39"/>
  <c r="AA80" i="39"/>
  <c r="AB80" i="39" s="1"/>
  <c r="AA78" i="39"/>
  <c r="L67" i="38"/>
  <c r="M67" i="38" s="1"/>
  <c r="W64" i="37"/>
  <c r="AA64" i="37" s="1"/>
  <c r="W65" i="37"/>
  <c r="W84" i="37"/>
  <c r="W59" i="37"/>
  <c r="AA59" i="37" s="1"/>
  <c r="W82" i="37"/>
  <c r="S121" i="37" s="1"/>
  <c r="W79" i="37"/>
  <c r="AA79" i="37" s="1"/>
  <c r="W60" i="37"/>
  <c r="AA60" i="37" s="1"/>
  <c r="W81" i="37"/>
  <c r="W80" i="37"/>
  <c r="W61" i="37"/>
  <c r="AA61" i="37" s="1"/>
  <c r="W62" i="37"/>
  <c r="W83" i="37"/>
  <c r="W63" i="37"/>
  <c r="W78" i="37"/>
  <c r="Y41" i="38"/>
  <c r="AF41" i="38" s="1"/>
  <c r="X40" i="38"/>
  <c r="AE40" i="38" s="1"/>
  <c r="L103" i="38"/>
  <c r="Q78" i="38"/>
  <c r="L75" i="38"/>
  <c r="AA105" i="38"/>
  <c r="S159" i="38"/>
  <c r="Y46" i="38"/>
  <c r="I127" i="38" s="1"/>
  <c r="X44" i="38"/>
  <c r="I125" i="38" s="1"/>
  <c r="Q102" i="38"/>
  <c r="Q80" i="38"/>
  <c r="Q107" i="38"/>
  <c r="L108" i="38"/>
  <c r="G136" i="38"/>
  <c r="S160" i="38"/>
  <c r="G133" i="38"/>
  <c r="AA107" i="38"/>
  <c r="X161" i="38" s="1"/>
  <c r="AA106" i="38"/>
  <c r="X160" i="38" s="1"/>
  <c r="L76" i="39"/>
  <c r="L119" i="39"/>
  <c r="Q120" i="39"/>
  <c r="AA116" i="39"/>
  <c r="AA114" i="39"/>
  <c r="X176" i="39" s="1"/>
  <c r="L121" i="39"/>
  <c r="AA54" i="39"/>
  <c r="AA53" i="39"/>
  <c r="AB75" i="39"/>
  <c r="Y46" i="39"/>
  <c r="G147" i="39"/>
  <c r="AA51" i="39"/>
  <c r="AB51" i="39" s="1"/>
  <c r="S176" i="39"/>
  <c r="AA113" i="39"/>
  <c r="X175" i="39" s="1"/>
  <c r="Q48" i="39"/>
  <c r="AA115" i="39"/>
  <c r="S182" i="39"/>
  <c r="Q86" i="39"/>
  <c r="Q47" i="39"/>
  <c r="AA106" i="39"/>
  <c r="AA88" i="39"/>
  <c r="AA102" i="39"/>
  <c r="AH102" i="39" s="1"/>
  <c r="AA108" i="39"/>
  <c r="X170" i="39" s="1"/>
  <c r="AD40" i="39"/>
  <c r="S165" i="39"/>
  <c r="L115" i="39"/>
  <c r="G138" i="39"/>
  <c r="Q113" i="39"/>
  <c r="L116" i="39"/>
  <c r="X41" i="39"/>
  <c r="AB41" i="39" s="1"/>
  <c r="X49" i="39"/>
  <c r="X43" i="39"/>
  <c r="I136" i="39" s="1"/>
  <c r="Y50" i="39"/>
  <c r="Q114" i="39"/>
  <c r="G149" i="39"/>
  <c r="S180" i="39"/>
  <c r="L118" i="39"/>
  <c r="L80" i="39"/>
  <c r="G152" i="39"/>
  <c r="S183" i="39"/>
  <c r="G146" i="39"/>
  <c r="S177" i="39"/>
  <c r="L88" i="39"/>
  <c r="Q88" i="39"/>
  <c r="G150" i="39"/>
  <c r="S181" i="39"/>
  <c r="G148" i="39"/>
  <c r="S179" i="39"/>
  <c r="J152" i="39"/>
  <c r="Q109" i="39"/>
  <c r="Y57" i="39"/>
  <c r="Q74" i="39"/>
  <c r="Q43" i="39"/>
  <c r="Q117" i="39"/>
  <c r="Q54" i="39"/>
  <c r="AO121" i="39"/>
  <c r="G18" i="41" s="1"/>
  <c r="AA49" i="39"/>
  <c r="Q104" i="39"/>
  <c r="AA120" i="39"/>
  <c r="X182" i="39" s="1"/>
  <c r="AA117" i="39"/>
  <c r="X179" i="39" s="1"/>
  <c r="AA50" i="39"/>
  <c r="AA119" i="39"/>
  <c r="X181" i="39" s="1"/>
  <c r="AA118" i="39"/>
  <c r="X180" i="39" s="1"/>
  <c r="L108" i="39"/>
  <c r="Q55" i="39"/>
  <c r="AA89" i="39"/>
  <c r="AA87" i="39"/>
  <c r="AA111" i="39"/>
  <c r="X173" i="39" s="1"/>
  <c r="Q42" i="39"/>
  <c r="L89" i="39"/>
  <c r="Q89" i="39"/>
  <c r="L110" i="39"/>
  <c r="L84" i="39"/>
  <c r="Q84" i="39"/>
  <c r="AH103" i="39"/>
  <c r="L102" i="39"/>
  <c r="M102" i="39" s="1"/>
  <c r="AF40" i="39"/>
  <c r="AA47" i="39"/>
  <c r="L87" i="39"/>
  <c r="Q87" i="39"/>
  <c r="Q83" i="39"/>
  <c r="L83" i="39"/>
  <c r="Q90" i="39"/>
  <c r="L90" i="39"/>
  <c r="AA86" i="39"/>
  <c r="Q105" i="39"/>
  <c r="L85" i="39"/>
  <c r="Q85" i="39"/>
  <c r="X58" i="39"/>
  <c r="Y58" i="39"/>
  <c r="L111" i="39"/>
  <c r="AD103" i="39"/>
  <c r="Q40" i="39"/>
  <c r="R40" i="39" s="1"/>
  <c r="AD41" i="39"/>
  <c r="Q58" i="39"/>
  <c r="L58" i="39"/>
  <c r="L56" i="39"/>
  <c r="Q56" i="39"/>
  <c r="X53" i="39"/>
  <c r="Y53" i="39"/>
  <c r="R103" i="39"/>
  <c r="X42" i="39"/>
  <c r="AB42" i="39" s="1"/>
  <c r="Q82" i="39"/>
  <c r="L59" i="39"/>
  <c r="Q59" i="39"/>
  <c r="Y59" i="39"/>
  <c r="X59" i="39"/>
  <c r="Q57" i="39"/>
  <c r="L57" i="39"/>
  <c r="Q52" i="39"/>
  <c r="L52" i="39"/>
  <c r="AA58" i="39"/>
  <c r="Y56" i="39"/>
  <c r="X56" i="39"/>
  <c r="X44" i="39"/>
  <c r="I137" i="39" s="1"/>
  <c r="X40" i="39"/>
  <c r="AE40" i="39" s="1"/>
  <c r="X52" i="39"/>
  <c r="Y52" i="39"/>
  <c r="X54" i="39"/>
  <c r="Y54" i="39"/>
  <c r="Q53" i="39"/>
  <c r="L53" i="39"/>
  <c r="AF41" i="39"/>
  <c r="AA55" i="39"/>
  <c r="X55" i="39"/>
  <c r="Y55" i="39"/>
  <c r="AA57" i="39"/>
  <c r="G141" i="39"/>
  <c r="AA109" i="39"/>
  <c r="X171" i="39" s="1"/>
  <c r="AA112" i="39"/>
  <c r="X174" i="39" s="1"/>
  <c r="AA110" i="39"/>
  <c r="S171" i="39"/>
  <c r="G144" i="39"/>
  <c r="X45" i="39"/>
  <c r="I138" i="39" s="1"/>
  <c r="W62" i="39"/>
  <c r="K93" i="39"/>
  <c r="P62" i="39"/>
  <c r="X47" i="39"/>
  <c r="D42" i="39"/>
  <c r="AG41" i="39"/>
  <c r="AH73" i="39"/>
  <c r="L72" i="39"/>
  <c r="M72" i="39" s="1"/>
  <c r="Q72" i="39"/>
  <c r="R72" i="39" s="1"/>
  <c r="K62" i="39"/>
  <c r="L107" i="39"/>
  <c r="Q107" i="39"/>
  <c r="Q81" i="39"/>
  <c r="L81" i="39"/>
  <c r="K124" i="39"/>
  <c r="Q73" i="39"/>
  <c r="R73" i="39" s="1"/>
  <c r="L73" i="39"/>
  <c r="M73" i="39" s="1"/>
  <c r="AG73" i="39"/>
  <c r="D74" i="39"/>
  <c r="AD73" i="39"/>
  <c r="S173" i="39"/>
  <c r="G142" i="39"/>
  <c r="H73" i="39"/>
  <c r="AA43" i="39"/>
  <c r="X167" i="39" s="1"/>
  <c r="AA46" i="39"/>
  <c r="J135" i="39"/>
  <c r="L51" i="39"/>
  <c r="Q51" i="39"/>
  <c r="Q75" i="39"/>
  <c r="L75" i="39"/>
  <c r="W93" i="39"/>
  <c r="AD71" i="39"/>
  <c r="L46" i="39"/>
  <c r="Q46" i="39"/>
  <c r="Q106" i="39"/>
  <c r="Q49" i="39"/>
  <c r="L49" i="39"/>
  <c r="G137" i="39"/>
  <c r="S168" i="39"/>
  <c r="AA44" i="39"/>
  <c r="X168" i="39" s="1"/>
  <c r="L44" i="39"/>
  <c r="Q44" i="39"/>
  <c r="S174" i="39"/>
  <c r="G143" i="39"/>
  <c r="W124" i="39"/>
  <c r="L103" i="39"/>
  <c r="M103" i="39" s="1"/>
  <c r="J134" i="39"/>
  <c r="AH41" i="39"/>
  <c r="Q41" i="39"/>
  <c r="R41" i="39" s="1"/>
  <c r="L41" i="39"/>
  <c r="J133" i="39"/>
  <c r="AH40" i="39"/>
  <c r="Q79" i="39"/>
  <c r="L79" i="39"/>
  <c r="Q50" i="39"/>
  <c r="L50" i="39"/>
  <c r="P93" i="39"/>
  <c r="Q77" i="39"/>
  <c r="L77" i="39"/>
  <c r="Y48" i="39"/>
  <c r="X48" i="39"/>
  <c r="Q78" i="39"/>
  <c r="L78" i="39"/>
  <c r="AB76" i="39"/>
  <c r="S170" i="39"/>
  <c r="G139" i="39"/>
  <c r="P124" i="39"/>
  <c r="H103" i="39"/>
  <c r="AH104" i="39"/>
  <c r="AG103" i="39"/>
  <c r="L112" i="39"/>
  <c r="Q71" i="39"/>
  <c r="L71" i="39"/>
  <c r="Q45" i="39"/>
  <c r="L45" i="39"/>
  <c r="AA45" i="39"/>
  <c r="X169" i="39" s="1"/>
  <c r="G130" i="38"/>
  <c r="S157" i="38"/>
  <c r="G131" i="38"/>
  <c r="S158" i="38"/>
  <c r="Y47" i="38"/>
  <c r="G134" i="38"/>
  <c r="S161" i="38"/>
  <c r="G135" i="38"/>
  <c r="S162" i="38"/>
  <c r="J136" i="38"/>
  <c r="Y42" i="38"/>
  <c r="AF42" i="38" s="1"/>
  <c r="Q96" i="38"/>
  <c r="Y45" i="38"/>
  <c r="I126" i="38" s="1"/>
  <c r="L50" i="38"/>
  <c r="AA102" i="38"/>
  <c r="X156" i="38" s="1"/>
  <c r="G129" i="38"/>
  <c r="L55" i="38"/>
  <c r="AF40" i="38"/>
  <c r="Q77" i="38"/>
  <c r="L106" i="38"/>
  <c r="D43" i="38"/>
  <c r="L105" i="38"/>
  <c r="AA103" i="38"/>
  <c r="X157" i="38" s="1"/>
  <c r="L109" i="38"/>
  <c r="X43" i="38"/>
  <c r="I124" i="38" s="1"/>
  <c r="AA80" i="38"/>
  <c r="AA77" i="38"/>
  <c r="AA75" i="38"/>
  <c r="L74" i="38"/>
  <c r="AA104" i="38"/>
  <c r="X158" i="38" s="1"/>
  <c r="Q94" i="38"/>
  <c r="R94" i="38" s="1"/>
  <c r="L81" i="38"/>
  <c r="Q81" i="38"/>
  <c r="AA81" i="38"/>
  <c r="AO81" i="38" s="1"/>
  <c r="AA79" i="38"/>
  <c r="L76" i="38"/>
  <c r="Q76" i="38"/>
  <c r="AD68" i="38"/>
  <c r="L72" i="38"/>
  <c r="AH95" i="38"/>
  <c r="L79" i="38"/>
  <c r="Q79" i="38"/>
  <c r="Q68" i="38"/>
  <c r="R68" i="38" s="1"/>
  <c r="Q82" i="38"/>
  <c r="L82" i="38"/>
  <c r="L99" i="38"/>
  <c r="L51" i="38"/>
  <c r="Q51" i="38"/>
  <c r="Q48" i="38"/>
  <c r="L48" i="38"/>
  <c r="AG42" i="38"/>
  <c r="Q54" i="38"/>
  <c r="L54" i="38"/>
  <c r="X55" i="38"/>
  <c r="Y55" i="38"/>
  <c r="Q49" i="38"/>
  <c r="L49" i="38"/>
  <c r="X52" i="38"/>
  <c r="Y52" i="38"/>
  <c r="L45" i="38"/>
  <c r="Q101" i="38"/>
  <c r="L52" i="38"/>
  <c r="Q52" i="38"/>
  <c r="K58" i="38"/>
  <c r="X50" i="38"/>
  <c r="Y50" i="38"/>
  <c r="Y51" i="38"/>
  <c r="X51" i="38"/>
  <c r="X53" i="38"/>
  <c r="Y53" i="38"/>
  <c r="X54" i="38"/>
  <c r="Y54" i="38"/>
  <c r="L53" i="38"/>
  <c r="Q53" i="38"/>
  <c r="Y49" i="38"/>
  <c r="X49" i="38"/>
  <c r="P58" i="38"/>
  <c r="R95" i="38"/>
  <c r="AA74" i="38"/>
  <c r="L98" i="38"/>
  <c r="AA70" i="38"/>
  <c r="AA71" i="38"/>
  <c r="W85" i="38"/>
  <c r="AD95" i="38"/>
  <c r="AO82" i="38"/>
  <c r="F14" i="41" s="1"/>
  <c r="M68" i="38"/>
  <c r="AA101" i="38"/>
  <c r="X155" i="38" s="1"/>
  <c r="AG95" i="38"/>
  <c r="AH96" i="38"/>
  <c r="P85" i="38"/>
  <c r="K85" i="38"/>
  <c r="Q44" i="38"/>
  <c r="L44" i="38"/>
  <c r="I121" i="38"/>
  <c r="Q73" i="38"/>
  <c r="L73" i="38"/>
  <c r="Q42" i="38"/>
  <c r="R42" i="38" s="1"/>
  <c r="L42" i="38"/>
  <c r="M42" i="38" s="1"/>
  <c r="Q100" i="38"/>
  <c r="AA100" i="38"/>
  <c r="X154" i="38" s="1"/>
  <c r="Q70" i="38"/>
  <c r="L70" i="38"/>
  <c r="L71" i="38"/>
  <c r="Q71" i="38"/>
  <c r="R67" i="38"/>
  <c r="L47" i="38"/>
  <c r="Q47" i="38"/>
  <c r="Q46" i="38"/>
  <c r="L46" i="38"/>
  <c r="P112" i="38"/>
  <c r="K112" i="38"/>
  <c r="AA99" i="38"/>
  <c r="L43" i="38"/>
  <c r="Q43" i="38"/>
  <c r="AA73" i="38"/>
  <c r="AE41" i="38"/>
  <c r="AE68" i="38"/>
  <c r="W112" i="38"/>
  <c r="AO109" i="38"/>
  <c r="F18" i="41" s="1"/>
  <c r="L97" i="38"/>
  <c r="Q97" i="38"/>
  <c r="AB72" i="38"/>
  <c r="L41" i="38"/>
  <c r="M41" i="38" s="1"/>
  <c r="Q41" i="38"/>
  <c r="R41" i="38" s="1"/>
  <c r="L95" i="38"/>
  <c r="M95" i="38" s="1"/>
  <c r="Q40" i="38"/>
  <c r="L40" i="38"/>
  <c r="AA97" i="38"/>
  <c r="D69" i="38"/>
  <c r="AG68" i="38"/>
  <c r="AA98" i="38"/>
  <c r="M94" i="38"/>
  <c r="L69" i="38"/>
  <c r="Q69" i="38"/>
  <c r="AE42" i="38"/>
  <c r="P47" i="37"/>
  <c r="Y47" i="37" s="1"/>
  <c r="G83" i="37"/>
  <c r="L83" i="37" s="1"/>
  <c r="G41" i="37"/>
  <c r="Q41" i="37" s="1"/>
  <c r="R41" i="37" s="1"/>
  <c r="K61" i="37"/>
  <c r="K62" i="37"/>
  <c r="K59" i="37"/>
  <c r="P82" i="37"/>
  <c r="Y82" i="37" s="1"/>
  <c r="AG40" i="37"/>
  <c r="P64" i="37"/>
  <c r="X64" i="37" s="1"/>
  <c r="AA42" i="37"/>
  <c r="P61" i="37"/>
  <c r="Y61" i="37" s="1"/>
  <c r="G85" i="37"/>
  <c r="Q85" i="37" s="1"/>
  <c r="G63" i="37"/>
  <c r="L63" i="37" s="1"/>
  <c r="H40" i="37"/>
  <c r="AD40" i="37"/>
  <c r="P59" i="37"/>
  <c r="Y59" i="37" s="1"/>
  <c r="P62" i="37"/>
  <c r="Y62" i="37" s="1"/>
  <c r="P65" i="37"/>
  <c r="X65" i="37" s="1"/>
  <c r="G40" i="37"/>
  <c r="Q40" i="37" s="1"/>
  <c r="R40" i="37" s="1"/>
  <c r="P60" i="37"/>
  <c r="Y60" i="37" s="1"/>
  <c r="AA41" i="37"/>
  <c r="K46" i="37"/>
  <c r="P63" i="37"/>
  <c r="Y63" i="37" s="1"/>
  <c r="K80" i="37"/>
  <c r="P85" i="37"/>
  <c r="Y85" i="37" s="1"/>
  <c r="P78" i="37"/>
  <c r="Y78" i="37" s="1"/>
  <c r="G42" i="37"/>
  <c r="L42" i="37" s="1"/>
  <c r="G61" i="37"/>
  <c r="Q61" i="37" s="1"/>
  <c r="K40" i="37"/>
  <c r="K42" i="37"/>
  <c r="K44" i="37"/>
  <c r="K47" i="37"/>
  <c r="G44" i="37"/>
  <c r="L44" i="37" s="1"/>
  <c r="P40" i="37"/>
  <c r="Y40" i="37" s="1"/>
  <c r="K45" i="37"/>
  <c r="K60" i="37"/>
  <c r="P83" i="37"/>
  <c r="Y83" i="37" s="1"/>
  <c r="G45" i="37"/>
  <c r="L45" i="37" s="1"/>
  <c r="P45" i="37"/>
  <c r="Y45" i="37" s="1"/>
  <c r="K79" i="37"/>
  <c r="K81" i="37"/>
  <c r="K41" i="37"/>
  <c r="K43" i="37"/>
  <c r="G62" i="37"/>
  <c r="K63" i="37"/>
  <c r="K65" i="37"/>
  <c r="G47" i="37"/>
  <c r="G46" i="37"/>
  <c r="AA43" i="37"/>
  <c r="G43" i="37"/>
  <c r="G60" i="37"/>
  <c r="H59" i="37"/>
  <c r="G59" i="37"/>
  <c r="Y46" i="37"/>
  <c r="X46" i="37"/>
  <c r="AG41" i="37"/>
  <c r="D42" i="37"/>
  <c r="S116" i="37"/>
  <c r="AA40" i="37"/>
  <c r="X116" i="37" s="1"/>
  <c r="AD39" i="37"/>
  <c r="H41" i="37"/>
  <c r="P41" i="37"/>
  <c r="AD41" i="37"/>
  <c r="G64" i="37"/>
  <c r="P42" i="37"/>
  <c r="G65" i="37"/>
  <c r="P43" i="37"/>
  <c r="D60" i="37"/>
  <c r="S118" i="37"/>
  <c r="G99" i="37"/>
  <c r="P44" i="37"/>
  <c r="AG59" i="37"/>
  <c r="P81" i="37"/>
  <c r="X81" i="37" s="1"/>
  <c r="G66" i="37"/>
  <c r="H79" i="37"/>
  <c r="AG78" i="37"/>
  <c r="G79" i="37"/>
  <c r="H78" i="37"/>
  <c r="G78" i="37"/>
  <c r="L78" i="37" s="1"/>
  <c r="G84" i="37"/>
  <c r="L84" i="37" s="1"/>
  <c r="P79" i="37"/>
  <c r="X79" i="37" s="1"/>
  <c r="P80" i="37"/>
  <c r="Y80" i="37" s="1"/>
  <c r="K85" i="37"/>
  <c r="G80" i="37"/>
  <c r="L80" i="37" s="1"/>
  <c r="G82" i="37"/>
  <c r="Q82" i="37" s="1"/>
  <c r="K78" i="37"/>
  <c r="G81" i="37"/>
  <c r="L81" i="37" s="1"/>
  <c r="K83" i="37"/>
  <c r="K84" i="37"/>
  <c r="K64" i="37"/>
  <c r="K66" i="37"/>
  <c r="K82" i="37"/>
  <c r="O88" i="37"/>
  <c r="P84" i="37"/>
  <c r="Y84" i="37" s="1"/>
  <c r="J88" i="37"/>
  <c r="AB74" i="39" l="1"/>
  <c r="AB82" i="39"/>
  <c r="AF74" i="39"/>
  <c r="I122" i="38"/>
  <c r="I141" i="39"/>
  <c r="AB77" i="39"/>
  <c r="Y65" i="37"/>
  <c r="X80" i="37"/>
  <c r="X63" i="37"/>
  <c r="Y81" i="37"/>
  <c r="X82" i="37"/>
  <c r="AA80" i="37"/>
  <c r="AA84" i="37"/>
  <c r="X122" i="37" s="1"/>
  <c r="AA78" i="37"/>
  <c r="AH78" i="37" s="1"/>
  <c r="X60" i="37"/>
  <c r="AE60" i="37" s="1"/>
  <c r="X62" i="37"/>
  <c r="X78" i="37"/>
  <c r="AE78" i="37" s="1"/>
  <c r="X84" i="37"/>
  <c r="Y79" i="37"/>
  <c r="AF79" i="37" s="1"/>
  <c r="X85" i="37"/>
  <c r="I104" i="37" s="1"/>
  <c r="X61" i="37"/>
  <c r="AB61" i="37" s="1"/>
  <c r="X59" i="37"/>
  <c r="AE59" i="37" s="1"/>
  <c r="Y64" i="37"/>
  <c r="AB64" i="37" s="1"/>
  <c r="X83" i="37"/>
  <c r="I146" i="39"/>
  <c r="AB78" i="39"/>
  <c r="AB79" i="39"/>
  <c r="I148" i="39"/>
  <c r="I142" i="39"/>
  <c r="AB81" i="39"/>
  <c r="AI72" i="39"/>
  <c r="S119" i="37"/>
  <c r="S123" i="37"/>
  <c r="AD60" i="37"/>
  <c r="J135" i="38"/>
  <c r="AO108" i="38"/>
  <c r="J141" i="39"/>
  <c r="X172" i="39"/>
  <c r="J147" i="39"/>
  <c r="X178" i="39"/>
  <c r="J146" i="39"/>
  <c r="X177" i="39"/>
  <c r="J132" i="38"/>
  <c r="X159" i="38"/>
  <c r="J99" i="37"/>
  <c r="X118" i="37"/>
  <c r="J98" i="37"/>
  <c r="X117" i="37"/>
  <c r="J133" i="38"/>
  <c r="AG43" i="38"/>
  <c r="J134" i="38"/>
  <c r="AO107" i="38"/>
  <c r="AO105" i="38"/>
  <c r="D44" i="38"/>
  <c r="AE44" i="38" s="1"/>
  <c r="R43" i="38"/>
  <c r="I134" i="38"/>
  <c r="I132" i="38"/>
  <c r="AB72" i="39"/>
  <c r="I123" i="38"/>
  <c r="H43" i="38"/>
  <c r="I133" i="38"/>
  <c r="M43" i="38"/>
  <c r="AF43" i="38"/>
  <c r="Q63" i="37"/>
  <c r="J145" i="39"/>
  <c r="L41" i="37"/>
  <c r="M41" i="37" s="1"/>
  <c r="J144" i="39"/>
  <c r="AB71" i="39"/>
  <c r="AE41" i="39"/>
  <c r="AI41" i="39" s="1"/>
  <c r="I134" i="39"/>
  <c r="AB57" i="39"/>
  <c r="AB102" i="39"/>
  <c r="AB44" i="39"/>
  <c r="AB115" i="39"/>
  <c r="I139" i="39"/>
  <c r="AB54" i="39"/>
  <c r="AE102" i="39"/>
  <c r="AI102" i="39" s="1"/>
  <c r="AB43" i="39"/>
  <c r="I151" i="39"/>
  <c r="AB49" i="39"/>
  <c r="AB50" i="39"/>
  <c r="AE74" i="39"/>
  <c r="R42" i="39"/>
  <c r="I152" i="39"/>
  <c r="I147" i="39"/>
  <c r="I145" i="39"/>
  <c r="J149" i="39"/>
  <c r="J151" i="39"/>
  <c r="AB116" i="39"/>
  <c r="I150" i="39"/>
  <c r="I149" i="39"/>
  <c r="AO120" i="39"/>
  <c r="J150" i="39"/>
  <c r="AO117" i="39"/>
  <c r="J148" i="39"/>
  <c r="AB119" i="39"/>
  <c r="AO115" i="39"/>
  <c r="AB120" i="39"/>
  <c r="AB117" i="39"/>
  <c r="AO112" i="39"/>
  <c r="AO113" i="39"/>
  <c r="AB114" i="39"/>
  <c r="AO116" i="39"/>
  <c r="AO118" i="39"/>
  <c r="AO119" i="39"/>
  <c r="AO114" i="39"/>
  <c r="AB121" i="39"/>
  <c r="AB118" i="39"/>
  <c r="J142" i="39"/>
  <c r="AO111" i="39"/>
  <c r="AB111" i="39"/>
  <c r="AO70" i="39"/>
  <c r="AO79" i="39"/>
  <c r="AB89" i="39"/>
  <c r="AO72" i="39"/>
  <c r="AO75" i="39"/>
  <c r="AO77" i="39"/>
  <c r="AB83" i="39"/>
  <c r="AO83" i="39"/>
  <c r="AO74" i="39"/>
  <c r="AO76" i="39"/>
  <c r="AB40" i="39"/>
  <c r="AB88" i="39"/>
  <c r="AA93" i="39"/>
  <c r="AH42" i="39"/>
  <c r="AO88" i="39"/>
  <c r="AB73" i="39"/>
  <c r="AB86" i="39"/>
  <c r="AO81" i="39"/>
  <c r="AB84" i="39"/>
  <c r="AO80" i="39"/>
  <c r="AO71" i="39"/>
  <c r="AO85" i="39"/>
  <c r="AB90" i="39"/>
  <c r="AO78" i="39"/>
  <c r="AO87" i="39"/>
  <c r="AO73" i="39"/>
  <c r="AO84" i="39"/>
  <c r="AB85" i="39"/>
  <c r="AB87" i="39"/>
  <c r="AO89" i="39"/>
  <c r="AO86" i="39"/>
  <c r="AO82" i="39"/>
  <c r="AO57" i="39"/>
  <c r="AO52" i="39"/>
  <c r="X93" i="39"/>
  <c r="AB52" i="39"/>
  <c r="AO58" i="39"/>
  <c r="AO48" i="39"/>
  <c r="AF42" i="39"/>
  <c r="AO54" i="39"/>
  <c r="AB103" i="39"/>
  <c r="AE42" i="39"/>
  <c r="AB55" i="39"/>
  <c r="AO53" i="39"/>
  <c r="AO50" i="39"/>
  <c r="AO55" i="39"/>
  <c r="AO56" i="39"/>
  <c r="I135" i="39"/>
  <c r="I133" i="39"/>
  <c r="AB53" i="39"/>
  <c r="AO49" i="39"/>
  <c r="AO51" i="39"/>
  <c r="AO47" i="39"/>
  <c r="AB56" i="39"/>
  <c r="AB59" i="39"/>
  <c r="AB58" i="39"/>
  <c r="AA124" i="39"/>
  <c r="AB110" i="39"/>
  <c r="J140" i="39"/>
  <c r="AO109" i="39"/>
  <c r="AO101" i="39"/>
  <c r="AI103" i="39"/>
  <c r="AO110" i="39"/>
  <c r="AO107" i="39"/>
  <c r="AO106" i="39"/>
  <c r="AO104" i="39"/>
  <c r="AO108" i="39"/>
  <c r="AO105" i="39"/>
  <c r="AO103" i="39"/>
  <c r="AO102" i="39"/>
  <c r="J143" i="39"/>
  <c r="AI40" i="39"/>
  <c r="AB45" i="39"/>
  <c r="X62" i="39"/>
  <c r="AB106" i="39"/>
  <c r="AB47" i="39"/>
  <c r="S186" i="39"/>
  <c r="AF104" i="39"/>
  <c r="D43" i="39"/>
  <c r="AH43" i="39" s="1"/>
  <c r="AG42" i="39"/>
  <c r="AD42" i="39"/>
  <c r="H42" i="39"/>
  <c r="M42" i="39"/>
  <c r="AO45" i="39"/>
  <c r="AO41" i="39"/>
  <c r="AO44" i="39"/>
  <c r="AE104" i="39"/>
  <c r="AB104" i="39"/>
  <c r="AO40" i="39"/>
  <c r="L93" i="39"/>
  <c r="M71" i="39"/>
  <c r="X124" i="39"/>
  <c r="AB48" i="39"/>
  <c r="R74" i="39"/>
  <c r="AO39" i="39"/>
  <c r="AB108" i="39"/>
  <c r="AB105" i="39"/>
  <c r="Q93" i="39"/>
  <c r="R71" i="39"/>
  <c r="AG104" i="39"/>
  <c r="H104" i="39"/>
  <c r="AE105" i="39"/>
  <c r="M104" i="39"/>
  <c r="AD104" i="39"/>
  <c r="R104" i="39"/>
  <c r="Y62" i="39"/>
  <c r="I143" i="39"/>
  <c r="AB112" i="39"/>
  <c r="Q124" i="39"/>
  <c r="Y124" i="39"/>
  <c r="I144" i="39"/>
  <c r="AB113" i="39"/>
  <c r="AO42" i="39"/>
  <c r="J138" i="39"/>
  <c r="AA62" i="39"/>
  <c r="AI71" i="39"/>
  <c r="Y93" i="39"/>
  <c r="M41" i="39"/>
  <c r="L62" i="39"/>
  <c r="J139" i="39"/>
  <c r="AB46" i="39"/>
  <c r="AI73" i="39"/>
  <c r="I140" i="39"/>
  <c r="AB109" i="39"/>
  <c r="Q62" i="39"/>
  <c r="L124" i="39"/>
  <c r="D75" i="39"/>
  <c r="AG74" i="39"/>
  <c r="M74" i="39"/>
  <c r="AD74" i="39"/>
  <c r="AH74" i="39"/>
  <c r="H74" i="39"/>
  <c r="AO46" i="39"/>
  <c r="J137" i="39"/>
  <c r="AO43" i="39"/>
  <c r="J136" i="39"/>
  <c r="Y58" i="38"/>
  <c r="AB106" i="38"/>
  <c r="I129" i="38"/>
  <c r="J131" i="38"/>
  <c r="J129" i="38"/>
  <c r="J130" i="38"/>
  <c r="I136" i="38"/>
  <c r="I131" i="38"/>
  <c r="I135" i="38"/>
  <c r="AE43" i="38"/>
  <c r="AB105" i="38"/>
  <c r="AB107" i="38"/>
  <c r="AB109" i="38"/>
  <c r="AB68" i="38"/>
  <c r="AB78" i="38"/>
  <c r="I130" i="38"/>
  <c r="AO104" i="38"/>
  <c r="AO103" i="38"/>
  <c r="AB103" i="38"/>
  <c r="AO102" i="38"/>
  <c r="AB102" i="38"/>
  <c r="AB108" i="38"/>
  <c r="AB104" i="38"/>
  <c r="AO76" i="38"/>
  <c r="AO101" i="38"/>
  <c r="AO78" i="38"/>
  <c r="AO73" i="38"/>
  <c r="AO77" i="38"/>
  <c r="AO74" i="38"/>
  <c r="AO75" i="38"/>
  <c r="AB80" i="38"/>
  <c r="AB76" i="38"/>
  <c r="AB79" i="38"/>
  <c r="AB77" i="38"/>
  <c r="AB81" i="38"/>
  <c r="AB82" i="38"/>
  <c r="AB75" i="38"/>
  <c r="L85" i="38"/>
  <c r="X58" i="38"/>
  <c r="AB55" i="38"/>
  <c r="Q85" i="38"/>
  <c r="AO68" i="38"/>
  <c r="AO79" i="38"/>
  <c r="AO80" i="38"/>
  <c r="AB70" i="38"/>
  <c r="AI68" i="38"/>
  <c r="AO67" i="38"/>
  <c r="AO99" i="38"/>
  <c r="AO69" i="38"/>
  <c r="AO72" i="38"/>
  <c r="AB101" i="38"/>
  <c r="AO98" i="38"/>
  <c r="AO100" i="38"/>
  <c r="AB98" i="38"/>
  <c r="H96" i="38"/>
  <c r="AF97" i="38"/>
  <c r="AG96" i="38"/>
  <c r="AD96" i="38"/>
  <c r="AF96" i="38"/>
  <c r="AA112" i="38"/>
  <c r="AF67" i="38"/>
  <c r="Y85" i="38"/>
  <c r="AH69" i="38"/>
  <c r="AO97" i="38"/>
  <c r="AI95" i="38"/>
  <c r="Q58" i="38"/>
  <c r="R40" i="38"/>
  <c r="AB73" i="38"/>
  <c r="R69" i="38"/>
  <c r="AO106" i="38"/>
  <c r="AB74" i="38"/>
  <c r="Y112" i="38"/>
  <c r="AF94" i="38"/>
  <c r="AO95" i="38"/>
  <c r="AO96" i="38"/>
  <c r="M69" i="38"/>
  <c r="AE69" i="38"/>
  <c r="AB69" i="38"/>
  <c r="AB95" i="38"/>
  <c r="I128" i="38"/>
  <c r="AO94" i="38"/>
  <c r="AB97" i="38"/>
  <c r="X112" i="38"/>
  <c r="AE94" i="38"/>
  <c r="AB94" i="38"/>
  <c r="L58" i="38"/>
  <c r="M40" i="38"/>
  <c r="AO93" i="38"/>
  <c r="AO66" i="38"/>
  <c r="AB99" i="38"/>
  <c r="AF69" i="38"/>
  <c r="R96" i="38"/>
  <c r="M96" i="38"/>
  <c r="AB100" i="38"/>
  <c r="L112" i="38"/>
  <c r="D70" i="38"/>
  <c r="M70" i="38" s="1"/>
  <c r="AG69" i="38"/>
  <c r="AD69" i="38"/>
  <c r="H69" i="38"/>
  <c r="AE96" i="38"/>
  <c r="AB96" i="38"/>
  <c r="Q112" i="38"/>
  <c r="AO70" i="38"/>
  <c r="AO71" i="38"/>
  <c r="AA85" i="38"/>
  <c r="AB71" i="38"/>
  <c r="AE67" i="38"/>
  <c r="X85" i="38"/>
  <c r="AB67" i="38"/>
  <c r="J128" i="38"/>
  <c r="Q83" i="37"/>
  <c r="G102" i="37"/>
  <c r="X47" i="37"/>
  <c r="L85" i="37"/>
  <c r="AF59" i="37"/>
  <c r="X45" i="37"/>
  <c r="AA47" i="37"/>
  <c r="G104" i="37"/>
  <c r="Q45" i="37"/>
  <c r="Q42" i="37"/>
  <c r="R42" i="37" s="1"/>
  <c r="AA66" i="37"/>
  <c r="AB66" i="37" s="1"/>
  <c r="L61" i="37"/>
  <c r="Q84" i="37"/>
  <c r="G98" i="37"/>
  <c r="AH41" i="37"/>
  <c r="K50" i="37"/>
  <c r="AH79" i="37"/>
  <c r="AA62" i="37"/>
  <c r="S117" i="37"/>
  <c r="L40" i="37"/>
  <c r="M40" i="37" s="1"/>
  <c r="AF78" i="37"/>
  <c r="W50" i="37"/>
  <c r="G100" i="37"/>
  <c r="AA63" i="37"/>
  <c r="AA44" i="37"/>
  <c r="Q44" i="37"/>
  <c r="AA65" i="37"/>
  <c r="W69" i="37"/>
  <c r="Q62" i="37"/>
  <c r="L62" i="37"/>
  <c r="Q80" i="37"/>
  <c r="X40" i="37"/>
  <c r="AB40" i="37" s="1"/>
  <c r="AH60" i="37"/>
  <c r="K69" i="37"/>
  <c r="AF40" i="37"/>
  <c r="AA85" i="37"/>
  <c r="X123" i="37" s="1"/>
  <c r="AD78" i="37"/>
  <c r="L66" i="37"/>
  <c r="Q66" i="37"/>
  <c r="Q81" i="37"/>
  <c r="X42" i="37"/>
  <c r="Y42" i="37"/>
  <c r="AF42" i="37" s="1"/>
  <c r="Q64" i="37"/>
  <c r="L64" i="37"/>
  <c r="J97" i="37"/>
  <c r="AH40" i="37"/>
  <c r="S122" i="37"/>
  <c r="G103" i="37"/>
  <c r="L60" i="37"/>
  <c r="M60" i="37" s="1"/>
  <c r="Q60" i="37"/>
  <c r="R60" i="37" s="1"/>
  <c r="H42" i="37"/>
  <c r="D43" i="37"/>
  <c r="AD43" i="37" s="1"/>
  <c r="AG42" i="37"/>
  <c r="Y41" i="37"/>
  <c r="X41" i="37"/>
  <c r="AD59" i="37"/>
  <c r="Q43" i="37"/>
  <c r="L43" i="37"/>
  <c r="L46" i="37"/>
  <c r="Q46" i="37"/>
  <c r="AA81" i="37"/>
  <c r="X119" i="37" s="1"/>
  <c r="M80" i="37"/>
  <c r="AG79" i="37"/>
  <c r="W88" i="37"/>
  <c r="AF60" i="37"/>
  <c r="S120" i="37"/>
  <c r="G101" i="37"/>
  <c r="AA45" i="37"/>
  <c r="Q79" i="37"/>
  <c r="R79" i="37" s="1"/>
  <c r="L79" i="37"/>
  <c r="M79" i="37" s="1"/>
  <c r="AD42" i="37"/>
  <c r="AH59" i="37"/>
  <c r="L82" i="37"/>
  <c r="AA83" i="37"/>
  <c r="AA82" i="37"/>
  <c r="Y43" i="37"/>
  <c r="X43" i="37"/>
  <c r="Q65" i="37"/>
  <c r="L65" i="37"/>
  <c r="Q59" i="37"/>
  <c r="L59" i="37"/>
  <c r="Y44" i="37"/>
  <c r="X44" i="37"/>
  <c r="AE79" i="37"/>
  <c r="AD79" i="37"/>
  <c r="K88" i="37"/>
  <c r="P88" i="37"/>
  <c r="M42" i="37"/>
  <c r="P50" i="37"/>
  <c r="L47" i="37"/>
  <c r="Q47" i="37"/>
  <c r="M78" i="37"/>
  <c r="D61" i="37"/>
  <c r="H60" i="37"/>
  <c r="AG60" i="37"/>
  <c r="Q78" i="37"/>
  <c r="P69" i="37"/>
  <c r="AA46" i="37"/>
  <c r="AH42" i="37"/>
  <c r="J101" i="37" l="1"/>
  <c r="J100" i="37"/>
  <c r="X121" i="37"/>
  <c r="X120" i="37"/>
  <c r="I103" i="37"/>
  <c r="I102" i="37"/>
  <c r="D45" i="38"/>
  <c r="AE45" i="38" s="1"/>
  <c r="R44" i="38"/>
  <c r="H44" i="38"/>
  <c r="AG44" i="38"/>
  <c r="M44" i="38"/>
  <c r="AF44" i="38"/>
  <c r="AB82" i="37"/>
  <c r="AI42" i="39"/>
  <c r="I155" i="39"/>
  <c r="H43" i="39"/>
  <c r="AG43" i="39"/>
  <c r="D44" i="39"/>
  <c r="AF43" i="39"/>
  <c r="M43" i="39"/>
  <c r="R43" i="39"/>
  <c r="AD43" i="39"/>
  <c r="AE43" i="39"/>
  <c r="J155" i="39"/>
  <c r="X186" i="39"/>
  <c r="AG75" i="39"/>
  <c r="D76" i="39"/>
  <c r="H75" i="39"/>
  <c r="AE75" i="39"/>
  <c r="AF75" i="39"/>
  <c r="AH75" i="39"/>
  <c r="AD75" i="39"/>
  <c r="AI104" i="39"/>
  <c r="AI74" i="39"/>
  <c r="H105" i="39"/>
  <c r="AG105" i="39"/>
  <c r="AH105" i="39"/>
  <c r="AD105" i="39"/>
  <c r="M105" i="39"/>
  <c r="R105" i="39"/>
  <c r="AF105" i="39"/>
  <c r="M75" i="39"/>
  <c r="R75" i="39"/>
  <c r="R97" i="38"/>
  <c r="AE97" i="38"/>
  <c r="M97" i="38"/>
  <c r="R70" i="38"/>
  <c r="AE70" i="38"/>
  <c r="I139" i="38"/>
  <c r="AI69" i="38"/>
  <c r="AI96" i="38"/>
  <c r="AI67" i="38"/>
  <c r="AI94" i="38"/>
  <c r="AG97" i="38"/>
  <c r="H97" i="38"/>
  <c r="AD97" i="38"/>
  <c r="AH97" i="38"/>
  <c r="AG70" i="38"/>
  <c r="D71" i="38"/>
  <c r="H70" i="38"/>
  <c r="AD70" i="38"/>
  <c r="AH70" i="38"/>
  <c r="AF70" i="38"/>
  <c r="AB47" i="37"/>
  <c r="AE40" i="37"/>
  <c r="AI40" i="37" s="1"/>
  <c r="AB65" i="37"/>
  <c r="AB78" i="37"/>
  <c r="AB60" i="37"/>
  <c r="AB62" i="37"/>
  <c r="AB59" i="37"/>
  <c r="I97" i="37"/>
  <c r="AF43" i="37"/>
  <c r="AO58" i="37"/>
  <c r="AO63" i="37"/>
  <c r="AO64" i="37"/>
  <c r="AO60" i="37"/>
  <c r="AO62" i="37"/>
  <c r="AO59" i="37"/>
  <c r="AO66" i="37"/>
  <c r="D14" i="41" s="1"/>
  <c r="AA69" i="37"/>
  <c r="AB63" i="37"/>
  <c r="AO61" i="37"/>
  <c r="AO65" i="37"/>
  <c r="AO42" i="37"/>
  <c r="X69" i="37"/>
  <c r="L88" i="37"/>
  <c r="AO43" i="37"/>
  <c r="Y69" i="37"/>
  <c r="AO41" i="37"/>
  <c r="AI60" i="37"/>
  <c r="AO45" i="37"/>
  <c r="S126" i="37"/>
  <c r="AO47" i="37"/>
  <c r="D10" i="41" s="1"/>
  <c r="AB79" i="37"/>
  <c r="AB81" i="37"/>
  <c r="AO82" i="37"/>
  <c r="AO80" i="37"/>
  <c r="AF41" i="37"/>
  <c r="Y50" i="37"/>
  <c r="AE80" i="37"/>
  <c r="AB80" i="37"/>
  <c r="M61" i="37"/>
  <c r="AO84" i="37"/>
  <c r="L69" i="37"/>
  <c r="M59" i="37"/>
  <c r="J102" i="37"/>
  <c r="H80" i="37"/>
  <c r="AH81" i="37"/>
  <c r="AG80" i="37"/>
  <c r="AD80" i="37"/>
  <c r="R43" i="37"/>
  <c r="Q50" i="37"/>
  <c r="AB45" i="37"/>
  <c r="AI78" i="37"/>
  <c r="AB84" i="37"/>
  <c r="X88" i="37"/>
  <c r="Q69" i="37"/>
  <c r="R59" i="37"/>
  <c r="I100" i="37"/>
  <c r="AE43" i="37"/>
  <c r="AB43" i="37"/>
  <c r="AH80" i="37"/>
  <c r="I98" i="37"/>
  <c r="AE41" i="37"/>
  <c r="AB41" i="37"/>
  <c r="AO78" i="37"/>
  <c r="AF80" i="37"/>
  <c r="R80" i="37"/>
  <c r="J104" i="37"/>
  <c r="AG61" i="37"/>
  <c r="D62" i="37"/>
  <c r="H61" i="37"/>
  <c r="AF61" i="37"/>
  <c r="AD61" i="37"/>
  <c r="I101" i="37"/>
  <c r="AB44" i="37"/>
  <c r="AI59" i="37"/>
  <c r="Y88" i="37"/>
  <c r="AO83" i="37"/>
  <c r="AO81" i="37"/>
  <c r="AB85" i="37"/>
  <c r="J103" i="37"/>
  <c r="AO40" i="37"/>
  <c r="AA88" i="37"/>
  <c r="AO46" i="37"/>
  <c r="AO39" i="37"/>
  <c r="AE61" i="37"/>
  <c r="AG43" i="37"/>
  <c r="D44" i="37"/>
  <c r="AE44" i="37" s="1"/>
  <c r="H43" i="37"/>
  <c r="AH43" i="37"/>
  <c r="AI79" i="37"/>
  <c r="X50" i="37"/>
  <c r="AB46" i="37"/>
  <c r="AH61" i="37"/>
  <c r="AB83" i="37"/>
  <c r="I99" i="37"/>
  <c r="AE42" i="37"/>
  <c r="AB42" i="37"/>
  <c r="AO85" i="37"/>
  <c r="D18" i="41" s="1"/>
  <c r="Q88" i="37"/>
  <c r="R78" i="37"/>
  <c r="AO79" i="37"/>
  <c r="R61" i="37"/>
  <c r="M43" i="37"/>
  <c r="L50" i="37"/>
  <c r="AO44" i="37"/>
  <c r="AA50" i="37"/>
  <c r="AO77" i="37"/>
  <c r="M45" i="38" l="1"/>
  <c r="R45" i="38"/>
  <c r="AF45" i="38"/>
  <c r="H45" i="38"/>
  <c r="AG45" i="38"/>
  <c r="D46" i="38"/>
  <c r="H46" i="38" s="1"/>
  <c r="AI43" i="39"/>
  <c r="H44" i="39"/>
  <c r="AD44" i="39"/>
  <c r="AF44" i="39"/>
  <c r="D45" i="39"/>
  <c r="AE44" i="39"/>
  <c r="AG44" i="39"/>
  <c r="R44" i="39"/>
  <c r="AH44" i="39"/>
  <c r="M44" i="39"/>
  <c r="AI105" i="39"/>
  <c r="AG106" i="39"/>
  <c r="AH106" i="39"/>
  <c r="H106" i="39"/>
  <c r="AD106" i="39"/>
  <c r="M106" i="39"/>
  <c r="AF106" i="39"/>
  <c r="AE106" i="39"/>
  <c r="R106" i="39"/>
  <c r="D77" i="39"/>
  <c r="AG76" i="39"/>
  <c r="H76" i="39"/>
  <c r="AH76" i="39"/>
  <c r="AD76" i="39"/>
  <c r="R76" i="39"/>
  <c r="M76" i="39"/>
  <c r="AF76" i="39"/>
  <c r="AE76" i="39"/>
  <c r="AI75" i="39"/>
  <c r="AI70" i="38"/>
  <c r="AI97" i="38"/>
  <c r="D72" i="38"/>
  <c r="AG71" i="38"/>
  <c r="H71" i="38"/>
  <c r="AH71" i="38"/>
  <c r="AD71" i="38"/>
  <c r="AF71" i="38"/>
  <c r="R71" i="38"/>
  <c r="M71" i="38"/>
  <c r="AE71" i="38"/>
  <c r="AG98" i="38"/>
  <c r="H98" i="38"/>
  <c r="R98" i="38"/>
  <c r="AD98" i="38"/>
  <c r="M98" i="38"/>
  <c r="AE98" i="38"/>
  <c r="AF98" i="38"/>
  <c r="AH98" i="38"/>
  <c r="AI43" i="37"/>
  <c r="AF44" i="37"/>
  <c r="I107" i="37"/>
  <c r="X126" i="37"/>
  <c r="J107" i="37"/>
  <c r="AI41" i="37"/>
  <c r="AI61" i="37"/>
  <c r="AI80" i="37"/>
  <c r="AG81" i="37"/>
  <c r="H81" i="37"/>
  <c r="AD81" i="37"/>
  <c r="M81" i="37"/>
  <c r="R81" i="37"/>
  <c r="AF81" i="37"/>
  <c r="AE81" i="37"/>
  <c r="D63" i="37"/>
  <c r="H62" i="37"/>
  <c r="AG62" i="37"/>
  <c r="AD62" i="37"/>
  <c r="AH62" i="37"/>
  <c r="R62" i="37"/>
  <c r="M62" i="37"/>
  <c r="AF62" i="37"/>
  <c r="AE62" i="37"/>
  <c r="D45" i="37"/>
  <c r="AG44" i="37"/>
  <c r="H44" i="37"/>
  <c r="M44" i="37"/>
  <c r="AD44" i="37"/>
  <c r="AH44" i="37"/>
  <c r="R44" i="37"/>
  <c r="AI42" i="37"/>
  <c r="S132" i="32"/>
  <c r="F97" i="32"/>
  <c r="F96" i="32"/>
  <c r="F95" i="32"/>
  <c r="F94" i="32"/>
  <c r="F93" i="32"/>
  <c r="F92" i="32"/>
  <c r="F91" i="32"/>
  <c r="F90" i="32"/>
  <c r="F89" i="32"/>
  <c r="F88" i="32"/>
  <c r="F87" i="32"/>
  <c r="F86" i="32"/>
  <c r="D63" i="32"/>
  <c r="D64" i="32" s="1"/>
  <c r="D65" i="32" s="1"/>
  <c r="D66" i="32" s="1"/>
  <c r="D67" i="32" s="1"/>
  <c r="D68" i="32" s="1"/>
  <c r="D69" i="32" s="1"/>
  <c r="D70" i="32" s="1"/>
  <c r="D71" i="32" s="1"/>
  <c r="D72" i="32" s="1"/>
  <c r="D73" i="32" s="1"/>
  <c r="D74" i="32" s="1"/>
  <c r="F74" i="32"/>
  <c r="F73" i="32"/>
  <c r="F72" i="32"/>
  <c r="F71" i="32"/>
  <c r="F70" i="32"/>
  <c r="F69" i="32"/>
  <c r="F68" i="32"/>
  <c r="F67" i="32"/>
  <c r="F66" i="32"/>
  <c r="F65" i="32"/>
  <c r="F64" i="32"/>
  <c r="F63" i="32"/>
  <c r="R132" i="32"/>
  <c r="W91" i="32" l="1"/>
  <c r="W70" i="32"/>
  <c r="W92" i="32"/>
  <c r="W71" i="32"/>
  <c r="W93" i="32"/>
  <c r="W72" i="32"/>
  <c r="W94" i="32"/>
  <c r="W73" i="32"/>
  <c r="W95" i="32"/>
  <c r="W69" i="32"/>
  <c r="W96" i="32"/>
  <c r="W63" i="32"/>
  <c r="AA63" i="32" s="1"/>
  <c r="W64" i="32"/>
  <c r="AA64" i="32" s="1"/>
  <c r="W86" i="32"/>
  <c r="AA86" i="32" s="1"/>
  <c r="W65" i="32"/>
  <c r="AA65" i="32" s="1"/>
  <c r="W87" i="32"/>
  <c r="AA87" i="32" s="1"/>
  <c r="W66" i="32"/>
  <c r="W88" i="32"/>
  <c r="AA88" i="32" s="1"/>
  <c r="W67" i="32"/>
  <c r="W89" i="32"/>
  <c r="W68" i="32"/>
  <c r="W90" i="32"/>
  <c r="AG46" i="38"/>
  <c r="M46" i="38"/>
  <c r="R46" i="38"/>
  <c r="AF46" i="38"/>
  <c r="AE46" i="38"/>
  <c r="D47" i="38"/>
  <c r="D48" i="38" s="1"/>
  <c r="H48" i="38" s="1"/>
  <c r="AI44" i="39"/>
  <c r="AE45" i="39"/>
  <c r="AF45" i="39"/>
  <c r="R45" i="39"/>
  <c r="AD45" i="39"/>
  <c r="AG45" i="39"/>
  <c r="D46" i="39"/>
  <c r="H45" i="39"/>
  <c r="M45" i="39"/>
  <c r="AH45" i="39"/>
  <c r="AG77" i="39"/>
  <c r="D78" i="39"/>
  <c r="H77" i="39"/>
  <c r="AH77" i="39"/>
  <c r="AF77" i="39"/>
  <c r="AE77" i="39"/>
  <c r="AD77" i="39"/>
  <c r="R77" i="39"/>
  <c r="M77" i="39"/>
  <c r="AG107" i="39"/>
  <c r="AD107" i="39"/>
  <c r="H107" i="39"/>
  <c r="M107" i="39"/>
  <c r="AH107" i="39"/>
  <c r="R107" i="39"/>
  <c r="AF107" i="39"/>
  <c r="AE107" i="39"/>
  <c r="AI106" i="39"/>
  <c r="AI76" i="39"/>
  <c r="H99" i="38"/>
  <c r="AG99" i="38"/>
  <c r="M99" i="38"/>
  <c r="R99" i="38"/>
  <c r="AD99" i="38"/>
  <c r="AE99" i="38"/>
  <c r="AF99" i="38"/>
  <c r="AH99" i="38"/>
  <c r="AI71" i="38"/>
  <c r="AI98" i="38"/>
  <c r="AG72" i="38"/>
  <c r="D73" i="38"/>
  <c r="H72" i="38"/>
  <c r="AE72" i="38"/>
  <c r="AF72" i="38"/>
  <c r="R72" i="38"/>
  <c r="AD72" i="38"/>
  <c r="AH72" i="38"/>
  <c r="M72" i="38"/>
  <c r="AI81" i="37"/>
  <c r="D64" i="37"/>
  <c r="AF63" i="37"/>
  <c r="AG63" i="37"/>
  <c r="AH63" i="37"/>
  <c r="H63" i="37"/>
  <c r="AD63" i="37"/>
  <c r="M63" i="37"/>
  <c r="AE63" i="37"/>
  <c r="R63" i="37"/>
  <c r="AI62" i="37"/>
  <c r="AG82" i="37"/>
  <c r="AD82" i="37"/>
  <c r="H82" i="37"/>
  <c r="AF82" i="37"/>
  <c r="R82" i="37"/>
  <c r="AE82" i="37"/>
  <c r="AH82" i="37"/>
  <c r="M82" i="37"/>
  <c r="D46" i="37"/>
  <c r="AG45" i="37"/>
  <c r="H45" i="37"/>
  <c r="M45" i="37"/>
  <c r="AF45" i="37"/>
  <c r="AD45" i="37"/>
  <c r="AE45" i="37"/>
  <c r="R45" i="37"/>
  <c r="AH45" i="37"/>
  <c r="AI44" i="37"/>
  <c r="AA97" i="32"/>
  <c r="X143" i="32" s="1"/>
  <c r="AA74" i="32"/>
  <c r="G87" i="32"/>
  <c r="G86" i="32"/>
  <c r="G70" i="32"/>
  <c r="G96" i="32"/>
  <c r="G71" i="32"/>
  <c r="G97" i="32"/>
  <c r="G64" i="32"/>
  <c r="G63" i="32"/>
  <c r="G90" i="32"/>
  <c r="G65" i="32"/>
  <c r="G73" i="32"/>
  <c r="G91" i="32"/>
  <c r="G69" i="32"/>
  <c r="G88" i="32"/>
  <c r="G89" i="32"/>
  <c r="G72" i="32"/>
  <c r="G66" i="32"/>
  <c r="G74" i="32"/>
  <c r="G92" i="32"/>
  <c r="G95" i="32"/>
  <c r="G67" i="32"/>
  <c r="G93" i="32"/>
  <c r="G68" i="32"/>
  <c r="G94" i="32"/>
  <c r="H63" i="32"/>
  <c r="S120" i="32"/>
  <c r="S119" i="32"/>
  <c r="S118" i="32"/>
  <c r="S117" i="32"/>
  <c r="S116" i="32"/>
  <c r="S114" i="32"/>
  <c r="S112" i="32"/>
  <c r="S111" i="32"/>
  <c r="S110" i="32"/>
  <c r="S109" i="32"/>
  <c r="J97" i="32"/>
  <c r="J96" i="32"/>
  <c r="J95" i="32"/>
  <c r="J94" i="32"/>
  <c r="J93" i="32"/>
  <c r="J92" i="32"/>
  <c r="J91" i="32"/>
  <c r="J90" i="32"/>
  <c r="J89" i="32"/>
  <c r="J88" i="32"/>
  <c r="J87" i="32"/>
  <c r="J86" i="32"/>
  <c r="O97" i="32"/>
  <c r="O96" i="32"/>
  <c r="O95" i="32"/>
  <c r="O94" i="32"/>
  <c r="O93" i="32"/>
  <c r="O92" i="32"/>
  <c r="O91" i="32"/>
  <c r="O90" i="32"/>
  <c r="O89" i="32"/>
  <c r="O88" i="32"/>
  <c r="O87" i="32"/>
  <c r="O86" i="32"/>
  <c r="J77" i="32"/>
  <c r="K63" i="32" s="1"/>
  <c r="AA92" i="32" l="1"/>
  <c r="X138" i="32" s="1"/>
  <c r="AA69" i="32"/>
  <c r="AA94" i="32"/>
  <c r="X140" i="32" s="1"/>
  <c r="AA71" i="32"/>
  <c r="M47" i="38"/>
  <c r="R47" i="38"/>
  <c r="AF47" i="38"/>
  <c r="AE48" i="38"/>
  <c r="R48" i="38"/>
  <c r="AG48" i="38"/>
  <c r="H47" i="38"/>
  <c r="D49" i="38"/>
  <c r="R49" i="38" s="1"/>
  <c r="AE47" i="38"/>
  <c r="M48" i="38"/>
  <c r="AG47" i="38"/>
  <c r="AF48" i="38"/>
  <c r="AA66" i="32"/>
  <c r="AH46" i="39"/>
  <c r="M46" i="39"/>
  <c r="AD46" i="39"/>
  <c r="H46" i="39"/>
  <c r="R46" i="39"/>
  <c r="AE46" i="39"/>
  <c r="AG46" i="39"/>
  <c r="D47" i="39"/>
  <c r="AF46" i="39"/>
  <c r="AI45" i="39"/>
  <c r="H108" i="39"/>
  <c r="AG108" i="39"/>
  <c r="AD108" i="39"/>
  <c r="R108" i="39"/>
  <c r="AH108" i="39"/>
  <c r="M108" i="39"/>
  <c r="AF108" i="39"/>
  <c r="AE108" i="39"/>
  <c r="AI77" i="39"/>
  <c r="AI107" i="39"/>
  <c r="D79" i="39"/>
  <c r="AG78" i="39"/>
  <c r="AH78" i="39"/>
  <c r="AD78" i="39"/>
  <c r="H78" i="39"/>
  <c r="AE78" i="39"/>
  <c r="AF78" i="39"/>
  <c r="M78" i="39"/>
  <c r="R78" i="39"/>
  <c r="AI99" i="38"/>
  <c r="AI72" i="38"/>
  <c r="D74" i="38"/>
  <c r="D75" i="38" s="1"/>
  <c r="AG73" i="38"/>
  <c r="AD73" i="38"/>
  <c r="H73" i="38"/>
  <c r="AE73" i="38"/>
  <c r="R73" i="38"/>
  <c r="AH73" i="38"/>
  <c r="M73" i="38"/>
  <c r="AF73" i="38"/>
  <c r="AG100" i="38"/>
  <c r="H100" i="38"/>
  <c r="AD100" i="38"/>
  <c r="M100" i="38"/>
  <c r="AF100" i="38"/>
  <c r="R100" i="38"/>
  <c r="AE100" i="38"/>
  <c r="AH100" i="38"/>
  <c r="AG46" i="37"/>
  <c r="D47" i="37"/>
  <c r="H46" i="37"/>
  <c r="AD46" i="37"/>
  <c r="AF46" i="37"/>
  <c r="AE46" i="37"/>
  <c r="M46" i="37"/>
  <c r="R46" i="37"/>
  <c r="AH46" i="37"/>
  <c r="AG83" i="37"/>
  <c r="H83" i="37"/>
  <c r="R83" i="37"/>
  <c r="AF83" i="37"/>
  <c r="AD83" i="37"/>
  <c r="AE83" i="37"/>
  <c r="M83" i="37"/>
  <c r="AH83" i="37"/>
  <c r="AI45" i="37"/>
  <c r="AI82" i="37"/>
  <c r="D65" i="37"/>
  <c r="H64" i="37"/>
  <c r="AG64" i="37"/>
  <c r="AD64" i="37"/>
  <c r="AH64" i="37"/>
  <c r="AE64" i="37"/>
  <c r="AF64" i="37"/>
  <c r="M64" i="37"/>
  <c r="R64" i="37"/>
  <c r="AI63" i="37"/>
  <c r="AA73" i="32"/>
  <c r="AA70" i="32"/>
  <c r="AA95" i="32"/>
  <c r="X141" i="32" s="1"/>
  <c r="AA67" i="32"/>
  <c r="AA96" i="32"/>
  <c r="X142" i="32" s="1"/>
  <c r="AA93" i="32"/>
  <c r="X139" i="32" s="1"/>
  <c r="AA90" i="32"/>
  <c r="AA91" i="32"/>
  <c r="AA72" i="32"/>
  <c r="AA89" i="32"/>
  <c r="AA68" i="32"/>
  <c r="L92" i="32"/>
  <c r="Q92" i="32"/>
  <c r="L73" i="32"/>
  <c r="Q73" i="32"/>
  <c r="L93" i="32"/>
  <c r="Q93" i="32"/>
  <c r="L88" i="32"/>
  <c r="Q88" i="32"/>
  <c r="L71" i="32"/>
  <c r="Q71" i="32"/>
  <c r="L67" i="32"/>
  <c r="Q67" i="32"/>
  <c r="L66" i="32"/>
  <c r="Q66" i="32"/>
  <c r="L69" i="32"/>
  <c r="Q69" i="32"/>
  <c r="Q90" i="32"/>
  <c r="L90" i="32"/>
  <c r="L96" i="32"/>
  <c r="Q96" i="32"/>
  <c r="L68" i="32"/>
  <c r="Q68" i="32"/>
  <c r="L86" i="32"/>
  <c r="Q86" i="32"/>
  <c r="L89" i="32"/>
  <c r="Q89" i="32"/>
  <c r="L97" i="32"/>
  <c r="Q97" i="32"/>
  <c r="L87" i="32"/>
  <c r="Q87" i="32"/>
  <c r="L74" i="32"/>
  <c r="Q74" i="32"/>
  <c r="L65" i="32"/>
  <c r="Q65" i="32"/>
  <c r="L94" i="32"/>
  <c r="Q94" i="32"/>
  <c r="L95" i="32"/>
  <c r="Q95" i="32"/>
  <c r="L72" i="32"/>
  <c r="Q72" i="32"/>
  <c r="L91" i="32"/>
  <c r="Q91" i="32"/>
  <c r="L63" i="32"/>
  <c r="Q63" i="32"/>
  <c r="L70" i="32"/>
  <c r="Q70" i="32"/>
  <c r="L64" i="32"/>
  <c r="Q64" i="32"/>
  <c r="J100" i="32"/>
  <c r="K97" i="32"/>
  <c r="K87" i="32"/>
  <c r="K93" i="32"/>
  <c r="K90" i="32"/>
  <c r="K96" i="32"/>
  <c r="K86" i="32"/>
  <c r="K89" i="32"/>
  <c r="K92" i="32"/>
  <c r="K70" i="32"/>
  <c r="K95" i="32"/>
  <c r="K88" i="32"/>
  <c r="K68" i="32"/>
  <c r="K94" i="32"/>
  <c r="K91" i="32"/>
  <c r="K73" i="32"/>
  <c r="K65" i="32"/>
  <c r="K67" i="32"/>
  <c r="K72" i="32"/>
  <c r="K64" i="32"/>
  <c r="K69" i="32"/>
  <c r="K74" i="32"/>
  <c r="K66" i="32"/>
  <c r="K71" i="32"/>
  <c r="AO74" i="32"/>
  <c r="E14" i="41" s="1"/>
  <c r="S143" i="32"/>
  <c r="S142" i="32"/>
  <c r="S141" i="32"/>
  <c r="S140" i="32"/>
  <c r="S139" i="32"/>
  <c r="F42" i="32"/>
  <c r="W42" i="32" s="1"/>
  <c r="AF49" i="38" l="1"/>
  <c r="AE49" i="38"/>
  <c r="H49" i="38"/>
  <c r="AG49" i="38"/>
  <c r="D50" i="38"/>
  <c r="AF50" i="38" s="1"/>
  <c r="M49" i="38"/>
  <c r="S135" i="32"/>
  <c r="H47" i="39"/>
  <c r="AF47" i="39"/>
  <c r="M47" i="39"/>
  <c r="AH47" i="39"/>
  <c r="D48" i="39"/>
  <c r="R47" i="39"/>
  <c r="AD47" i="39"/>
  <c r="AG47" i="39"/>
  <c r="AE47" i="39"/>
  <c r="AI46" i="39"/>
  <c r="H109" i="39"/>
  <c r="AG109" i="39"/>
  <c r="M109" i="39"/>
  <c r="AD109" i="39"/>
  <c r="R109" i="39"/>
  <c r="AH109" i="39"/>
  <c r="AF109" i="39"/>
  <c r="AE109" i="39"/>
  <c r="D80" i="39"/>
  <c r="AG79" i="39"/>
  <c r="H79" i="39"/>
  <c r="AH79" i="39"/>
  <c r="AE79" i="39"/>
  <c r="AD79" i="39"/>
  <c r="AF79" i="39"/>
  <c r="R79" i="39"/>
  <c r="M79" i="39"/>
  <c r="AI78" i="39"/>
  <c r="AI108" i="39"/>
  <c r="AG101" i="38"/>
  <c r="AD101" i="38"/>
  <c r="AE101" i="38"/>
  <c r="AH101" i="38"/>
  <c r="AF101" i="38"/>
  <c r="D76" i="38"/>
  <c r="AG75" i="38"/>
  <c r="H75" i="38"/>
  <c r="AD75" i="38"/>
  <c r="AH75" i="38"/>
  <c r="M75" i="38"/>
  <c r="R75" i="38"/>
  <c r="AE75" i="38"/>
  <c r="AF75" i="38"/>
  <c r="H101" i="38"/>
  <c r="R101" i="38"/>
  <c r="M101" i="38"/>
  <c r="AG74" i="38"/>
  <c r="R74" i="38"/>
  <c r="AD74" i="38"/>
  <c r="H74" i="38"/>
  <c r="AH74" i="38"/>
  <c r="M74" i="38"/>
  <c r="AF74" i="38"/>
  <c r="AE74" i="38"/>
  <c r="AI73" i="38"/>
  <c r="AI100" i="38"/>
  <c r="AI83" i="37"/>
  <c r="AI46" i="37"/>
  <c r="H47" i="37"/>
  <c r="AG47" i="37"/>
  <c r="AD47" i="37"/>
  <c r="AF47" i="37"/>
  <c r="AH47" i="37"/>
  <c r="AE47" i="37"/>
  <c r="M47" i="37"/>
  <c r="R47" i="37"/>
  <c r="AG84" i="37"/>
  <c r="H84" i="37"/>
  <c r="AD84" i="37"/>
  <c r="M84" i="37"/>
  <c r="R84" i="37"/>
  <c r="AH84" i="37"/>
  <c r="AE84" i="37"/>
  <c r="AF84" i="37"/>
  <c r="AG65" i="37"/>
  <c r="D66" i="37"/>
  <c r="H65" i="37"/>
  <c r="AD65" i="37"/>
  <c r="AH65" i="37"/>
  <c r="AE65" i="37"/>
  <c r="AF65" i="37"/>
  <c r="R65" i="37"/>
  <c r="M65" i="37"/>
  <c r="AI64" i="37"/>
  <c r="AO66" i="32"/>
  <c r="AO94" i="32"/>
  <c r="AO87" i="32"/>
  <c r="AO88" i="32"/>
  <c r="AO89" i="32"/>
  <c r="AO62" i="32"/>
  <c r="AO63" i="32"/>
  <c r="AO71" i="32"/>
  <c r="AO90" i="32"/>
  <c r="AO85" i="32"/>
  <c r="AO86" i="32"/>
  <c r="AO69" i="32"/>
  <c r="AO70" i="32"/>
  <c r="AO64" i="32"/>
  <c r="AO72" i="32"/>
  <c r="AO91" i="32"/>
  <c r="AO67" i="32"/>
  <c r="AO68" i="32"/>
  <c r="AO95" i="32"/>
  <c r="AO96" i="32"/>
  <c r="AO97" i="32"/>
  <c r="E18" i="41" s="1"/>
  <c r="AO65" i="32"/>
  <c r="AO73" i="32"/>
  <c r="AO92" i="32"/>
  <c r="AO93" i="32"/>
  <c r="J120" i="32"/>
  <c r="J116" i="32"/>
  <c r="J117" i="32"/>
  <c r="J118" i="32"/>
  <c r="J119" i="32"/>
  <c r="G118" i="32"/>
  <c r="G116" i="32"/>
  <c r="G117" i="32"/>
  <c r="G120" i="32"/>
  <c r="G119" i="32"/>
  <c r="K77" i="32"/>
  <c r="K100" i="32"/>
  <c r="AE50" i="38" l="1"/>
  <c r="R50" i="38"/>
  <c r="H50" i="38"/>
  <c r="AG50" i="38"/>
  <c r="M50" i="38"/>
  <c r="D51" i="38"/>
  <c r="D52" i="38" s="1"/>
  <c r="AK47" i="37"/>
  <c r="D7" i="41" s="1"/>
  <c r="G112" i="32"/>
  <c r="AI47" i="39"/>
  <c r="AE48" i="39"/>
  <c r="AG48" i="39"/>
  <c r="AF48" i="39"/>
  <c r="D49" i="39"/>
  <c r="H48" i="39"/>
  <c r="AD48" i="39"/>
  <c r="AH48" i="39"/>
  <c r="R48" i="39"/>
  <c r="M48" i="39"/>
  <c r="AI109" i="39"/>
  <c r="D81" i="39"/>
  <c r="AG80" i="39"/>
  <c r="H80" i="39"/>
  <c r="AD80" i="39"/>
  <c r="AE80" i="39"/>
  <c r="AH80" i="39"/>
  <c r="R80" i="39"/>
  <c r="AF80" i="39"/>
  <c r="M80" i="39"/>
  <c r="AI79" i="39"/>
  <c r="AG110" i="39"/>
  <c r="AH110" i="39"/>
  <c r="H110" i="39"/>
  <c r="AE110" i="39"/>
  <c r="AD110" i="39"/>
  <c r="M110" i="39"/>
  <c r="R110" i="39"/>
  <c r="AF110" i="39"/>
  <c r="AI101" i="38"/>
  <c r="AG102" i="38"/>
  <c r="R102" i="38"/>
  <c r="H102" i="38"/>
  <c r="M102" i="38"/>
  <c r="AH102" i="38"/>
  <c r="AD102" i="38"/>
  <c r="AF102" i="38"/>
  <c r="AE102" i="38"/>
  <c r="D77" i="38"/>
  <c r="AG76" i="38"/>
  <c r="H76" i="38"/>
  <c r="AH76" i="38"/>
  <c r="AD76" i="38"/>
  <c r="R76" i="38"/>
  <c r="M76" i="38"/>
  <c r="AE76" i="38"/>
  <c r="AF76" i="38"/>
  <c r="AI75" i="38"/>
  <c r="AI74" i="38"/>
  <c r="AG85" i="37"/>
  <c r="M85" i="37"/>
  <c r="H85" i="37"/>
  <c r="R85" i="37"/>
  <c r="AE85" i="37"/>
  <c r="AD85" i="37"/>
  <c r="AF85" i="37"/>
  <c r="AH85" i="37"/>
  <c r="AI84" i="37"/>
  <c r="AI47" i="37"/>
  <c r="AI65" i="37"/>
  <c r="H66" i="37"/>
  <c r="AG66" i="37"/>
  <c r="AD66" i="37"/>
  <c r="AH66" i="37"/>
  <c r="AF66" i="37"/>
  <c r="AE66" i="37"/>
  <c r="R66" i="37"/>
  <c r="M66" i="37"/>
  <c r="T120" i="32"/>
  <c r="T119" i="32"/>
  <c r="T118" i="32"/>
  <c r="T117" i="32"/>
  <c r="T116" i="32"/>
  <c r="T114" i="32"/>
  <c r="T112" i="32"/>
  <c r="T111" i="32"/>
  <c r="T110" i="32"/>
  <c r="P120" i="32"/>
  <c r="P119" i="32"/>
  <c r="P118" i="32"/>
  <c r="P117" i="32"/>
  <c r="P116" i="32"/>
  <c r="P115" i="32"/>
  <c r="P114" i="32"/>
  <c r="P113" i="32"/>
  <c r="P112" i="32"/>
  <c r="P111" i="32"/>
  <c r="P110" i="32"/>
  <c r="L109" i="32"/>
  <c r="K120" i="32"/>
  <c r="K119" i="32"/>
  <c r="K118" i="32"/>
  <c r="K117" i="32"/>
  <c r="K116" i="32"/>
  <c r="K114" i="32"/>
  <c r="K112" i="32"/>
  <c r="K111" i="32"/>
  <c r="K110" i="32"/>
  <c r="K109" i="32"/>
  <c r="M51" i="38" l="1"/>
  <c r="AE51" i="38"/>
  <c r="AF51" i="38"/>
  <c r="H51" i="38"/>
  <c r="R51" i="38"/>
  <c r="AG51" i="38"/>
  <c r="AK85" i="37"/>
  <c r="D15" i="41" s="1"/>
  <c r="AK66" i="37"/>
  <c r="D11" i="41" s="1"/>
  <c r="AG49" i="39"/>
  <c r="D50" i="39"/>
  <c r="D51" i="39" s="1"/>
  <c r="D52" i="39" s="1"/>
  <c r="AE49" i="39"/>
  <c r="AF49" i="39"/>
  <c r="AH49" i="39"/>
  <c r="R49" i="39"/>
  <c r="M49" i="39"/>
  <c r="H49" i="39"/>
  <c r="AD49" i="39"/>
  <c r="AI48" i="39"/>
  <c r="D82" i="39"/>
  <c r="D83" i="39" s="1"/>
  <c r="AG81" i="39"/>
  <c r="H81" i="39"/>
  <c r="AH81" i="39"/>
  <c r="AF81" i="39"/>
  <c r="AE81" i="39"/>
  <c r="AD81" i="39"/>
  <c r="R81" i="39"/>
  <c r="M81" i="39"/>
  <c r="AI110" i="39"/>
  <c r="AI80" i="39"/>
  <c r="AG111" i="39"/>
  <c r="R111" i="39"/>
  <c r="H111" i="39"/>
  <c r="AD111" i="39"/>
  <c r="AE111" i="39"/>
  <c r="AH111" i="39"/>
  <c r="AF111" i="39"/>
  <c r="M111" i="39"/>
  <c r="AI102" i="38"/>
  <c r="AG103" i="38"/>
  <c r="H103" i="38"/>
  <c r="R103" i="38"/>
  <c r="AD103" i="38"/>
  <c r="M103" i="38"/>
  <c r="AF103" i="38"/>
  <c r="AE103" i="38"/>
  <c r="AH103" i="38"/>
  <c r="AI76" i="38"/>
  <c r="D78" i="38"/>
  <c r="AG77" i="38"/>
  <c r="H77" i="38"/>
  <c r="M77" i="38"/>
  <c r="AD77" i="38"/>
  <c r="R77" i="38"/>
  <c r="AH77" i="38"/>
  <c r="AF77" i="38"/>
  <c r="AE77" i="38"/>
  <c r="D53" i="38"/>
  <c r="AG52" i="38"/>
  <c r="H52" i="38"/>
  <c r="M52" i="38"/>
  <c r="AE52" i="38"/>
  <c r="AF52" i="38"/>
  <c r="R52" i="38"/>
  <c r="AI66" i="37"/>
  <c r="AI85" i="37"/>
  <c r="AH120" i="32"/>
  <c r="AH119" i="32"/>
  <c r="AH118" i="32"/>
  <c r="AH117" i="32"/>
  <c r="AH116" i="32"/>
  <c r="AH115" i="32"/>
  <c r="AH114" i="32"/>
  <c r="AH113" i="32"/>
  <c r="AH112" i="32"/>
  <c r="AH111" i="32"/>
  <c r="AH110" i="32"/>
  <c r="AG109" i="32"/>
  <c r="W109" i="32"/>
  <c r="D84" i="39" l="1"/>
  <c r="AG83" i="39"/>
  <c r="H83" i="39"/>
  <c r="AD83" i="39"/>
  <c r="AH83" i="39"/>
  <c r="AE83" i="39"/>
  <c r="AF83" i="39"/>
  <c r="M83" i="39"/>
  <c r="R83" i="39"/>
  <c r="D53" i="39"/>
  <c r="AG52" i="39"/>
  <c r="AD52" i="39"/>
  <c r="AH52" i="39"/>
  <c r="H52" i="39"/>
  <c r="AE52" i="39"/>
  <c r="R52" i="39"/>
  <c r="AF52" i="39"/>
  <c r="M52" i="39"/>
  <c r="AF50" i="39"/>
  <c r="R50" i="39"/>
  <c r="AH50" i="39"/>
  <c r="AD50" i="39"/>
  <c r="AG50" i="39"/>
  <c r="AE50" i="39"/>
  <c r="M50" i="39"/>
  <c r="H50" i="39"/>
  <c r="AI49" i="39"/>
  <c r="H112" i="39"/>
  <c r="AG112" i="39"/>
  <c r="AD112" i="39"/>
  <c r="AH112" i="39"/>
  <c r="R112" i="39"/>
  <c r="AF112" i="39"/>
  <c r="AE112" i="39"/>
  <c r="M112" i="39"/>
  <c r="AI81" i="39"/>
  <c r="AI111" i="39"/>
  <c r="AG82" i="39"/>
  <c r="M82" i="39"/>
  <c r="AE82" i="39"/>
  <c r="H82" i="39"/>
  <c r="AD82" i="39"/>
  <c r="R82" i="39"/>
  <c r="AH82" i="39"/>
  <c r="AF82" i="39"/>
  <c r="AI103" i="38"/>
  <c r="AG104" i="38"/>
  <c r="AD104" i="38"/>
  <c r="R104" i="38"/>
  <c r="H104" i="38"/>
  <c r="M104" i="38"/>
  <c r="AF104" i="38"/>
  <c r="AE104" i="38"/>
  <c r="AH104" i="38"/>
  <c r="AI77" i="38"/>
  <c r="D79" i="38"/>
  <c r="AG78" i="38"/>
  <c r="H78" i="38"/>
  <c r="AD78" i="38"/>
  <c r="AH78" i="38"/>
  <c r="M78" i="38"/>
  <c r="R78" i="38"/>
  <c r="AF78" i="38"/>
  <c r="AE78" i="38"/>
  <c r="D54" i="38"/>
  <c r="AG53" i="38"/>
  <c r="H53" i="38"/>
  <c r="AE53" i="38"/>
  <c r="M53" i="38"/>
  <c r="AF53" i="38"/>
  <c r="R53" i="38"/>
  <c r="G13" i="32"/>
  <c r="G15" i="32" s="1"/>
  <c r="AG114" i="39" l="1"/>
  <c r="H114" i="39"/>
  <c r="AD114" i="39"/>
  <c r="AH114" i="39"/>
  <c r="R114" i="39"/>
  <c r="M114" i="39"/>
  <c r="AF114" i="39"/>
  <c r="AE114" i="39"/>
  <c r="AI83" i="39"/>
  <c r="D85" i="39"/>
  <c r="AG84" i="39"/>
  <c r="AD84" i="39"/>
  <c r="H84" i="39"/>
  <c r="AH84" i="39"/>
  <c r="R84" i="39"/>
  <c r="AE84" i="39"/>
  <c r="M84" i="39"/>
  <c r="AF84" i="39"/>
  <c r="AI52" i="39"/>
  <c r="D54" i="39"/>
  <c r="AG53" i="39"/>
  <c r="H53" i="39"/>
  <c r="AD53" i="39"/>
  <c r="AH53" i="39"/>
  <c r="M53" i="39"/>
  <c r="AF53" i="39"/>
  <c r="AE53" i="39"/>
  <c r="R53" i="39"/>
  <c r="AI50" i="39"/>
  <c r="R51" i="39"/>
  <c r="AF51" i="39"/>
  <c r="M51" i="39"/>
  <c r="AG51" i="39"/>
  <c r="AD51" i="39"/>
  <c r="AE51" i="39"/>
  <c r="AH51" i="39"/>
  <c r="H51" i="39"/>
  <c r="H113" i="39"/>
  <c r="M113" i="39"/>
  <c r="AG113" i="39"/>
  <c r="AD113" i="39"/>
  <c r="R113" i="39"/>
  <c r="AH113" i="39"/>
  <c r="AE113" i="39"/>
  <c r="AF113" i="39"/>
  <c r="AI82" i="39"/>
  <c r="AI112" i="39"/>
  <c r="AI104" i="38"/>
  <c r="AG105" i="38"/>
  <c r="H105" i="38"/>
  <c r="AD105" i="38"/>
  <c r="R105" i="38"/>
  <c r="AH105" i="38"/>
  <c r="M105" i="38"/>
  <c r="AE105" i="38"/>
  <c r="AF105" i="38"/>
  <c r="AG79" i="38"/>
  <c r="D80" i="38"/>
  <c r="AD79" i="38"/>
  <c r="H79" i="38"/>
  <c r="M79" i="38"/>
  <c r="AH79" i="38"/>
  <c r="R79" i="38"/>
  <c r="AF79" i="38"/>
  <c r="AE79" i="38"/>
  <c r="AI78" i="38"/>
  <c r="D55" i="38"/>
  <c r="AG54" i="38"/>
  <c r="H54" i="38"/>
  <c r="AE54" i="38"/>
  <c r="AF54" i="38"/>
  <c r="R54" i="38"/>
  <c r="M54" i="38"/>
  <c r="AH50" i="37"/>
  <c r="R50" i="37"/>
  <c r="M50" i="37"/>
  <c r="X120" i="32"/>
  <c r="X119" i="32"/>
  <c r="X118" i="32"/>
  <c r="X117" i="32"/>
  <c r="X116" i="32"/>
  <c r="X115" i="32"/>
  <c r="X114" i="32"/>
  <c r="X113" i="32"/>
  <c r="X112" i="32"/>
  <c r="X111" i="32"/>
  <c r="X110" i="32"/>
  <c r="O109" i="32"/>
  <c r="T109" i="32"/>
  <c r="F120" i="32"/>
  <c r="F119" i="32"/>
  <c r="F118" i="32"/>
  <c r="F117" i="32"/>
  <c r="F116" i="32"/>
  <c r="F115" i="32"/>
  <c r="F114" i="32"/>
  <c r="F113" i="32"/>
  <c r="F112" i="32"/>
  <c r="F111" i="32"/>
  <c r="F110" i="32"/>
  <c r="E109" i="32"/>
  <c r="L120" i="32"/>
  <c r="L119" i="32"/>
  <c r="L118" i="32"/>
  <c r="L117" i="32"/>
  <c r="L116" i="32"/>
  <c r="L114" i="32"/>
  <c r="L112" i="32"/>
  <c r="L111" i="32"/>
  <c r="AG63" i="32"/>
  <c r="O100" i="32"/>
  <c r="AG86" i="32"/>
  <c r="AD85" i="32"/>
  <c r="AD62" i="32"/>
  <c r="O77" i="32"/>
  <c r="P67" i="32" s="1"/>
  <c r="X67" i="32" l="1"/>
  <c r="Y67" i="32"/>
  <c r="AI114" i="39"/>
  <c r="AG115" i="39"/>
  <c r="H115" i="39"/>
  <c r="AD115" i="39"/>
  <c r="M115" i="39"/>
  <c r="R115" i="39"/>
  <c r="AE115" i="39"/>
  <c r="AH115" i="39"/>
  <c r="AF115" i="39"/>
  <c r="D86" i="39"/>
  <c r="AG85" i="39"/>
  <c r="H85" i="39"/>
  <c r="AH85" i="39"/>
  <c r="AD85" i="39"/>
  <c r="AF85" i="39"/>
  <c r="AE85" i="39"/>
  <c r="M85" i="39"/>
  <c r="R85" i="39"/>
  <c r="AI84" i="39"/>
  <c r="AI53" i="39"/>
  <c r="D55" i="39"/>
  <c r="AG54" i="39"/>
  <c r="M54" i="39"/>
  <c r="H54" i="39"/>
  <c r="AD54" i="39"/>
  <c r="AH54" i="39"/>
  <c r="R54" i="39"/>
  <c r="AF54" i="39"/>
  <c r="AE54" i="39"/>
  <c r="AI51" i="39"/>
  <c r="AI113" i="39"/>
  <c r="AI105" i="38"/>
  <c r="H106" i="38"/>
  <c r="R106" i="38"/>
  <c r="M106" i="38"/>
  <c r="AD106" i="38"/>
  <c r="AF106" i="38"/>
  <c r="AE106" i="38"/>
  <c r="AH106" i="38"/>
  <c r="AG106" i="38"/>
  <c r="AI79" i="38"/>
  <c r="D81" i="38"/>
  <c r="AG80" i="38"/>
  <c r="R80" i="38"/>
  <c r="M80" i="38"/>
  <c r="H80" i="38"/>
  <c r="AD80" i="38"/>
  <c r="AH80" i="38"/>
  <c r="AE80" i="38"/>
  <c r="AF80" i="38"/>
  <c r="AL55" i="38"/>
  <c r="F8" i="41" s="1"/>
  <c r="AG55" i="38"/>
  <c r="R55" i="38"/>
  <c r="R58" i="38" s="1"/>
  <c r="H55" i="38"/>
  <c r="AD55" i="38"/>
  <c r="AH55" i="38"/>
  <c r="M55" i="38"/>
  <c r="M58" i="38" s="1"/>
  <c r="AE55" i="38"/>
  <c r="AF55" i="38"/>
  <c r="AF58" i="38" s="1"/>
  <c r="AL41" i="37"/>
  <c r="AL42" i="37"/>
  <c r="AL39" i="37"/>
  <c r="AL45" i="37"/>
  <c r="AL44" i="37"/>
  <c r="AL40" i="37"/>
  <c r="U97" i="37" s="1"/>
  <c r="AF50" i="37"/>
  <c r="AK46" i="37"/>
  <c r="AK44" i="37"/>
  <c r="AK41" i="37"/>
  <c r="AN44" i="37"/>
  <c r="AN39" i="37"/>
  <c r="AK42" i="37"/>
  <c r="AN40" i="37"/>
  <c r="AK40" i="37"/>
  <c r="AN41" i="37"/>
  <c r="AN42" i="37"/>
  <c r="AD50" i="37"/>
  <c r="AN43" i="37"/>
  <c r="AK43" i="37"/>
  <c r="AN46" i="37"/>
  <c r="AN47" i="37"/>
  <c r="D9" i="41" s="1"/>
  <c r="AN45" i="37"/>
  <c r="AK45" i="37"/>
  <c r="AH88" i="37"/>
  <c r="M88" i="37"/>
  <c r="R88" i="37"/>
  <c r="R69" i="37"/>
  <c r="M69" i="37"/>
  <c r="AH69" i="37"/>
  <c r="AE50" i="37"/>
  <c r="AL46" i="37"/>
  <c r="AL47" i="37"/>
  <c r="D8" i="41" s="1"/>
  <c r="AL43" i="37"/>
  <c r="H86" i="32"/>
  <c r="AL74" i="32"/>
  <c r="E12" i="41" s="1"/>
  <c r="P91" i="32"/>
  <c r="AH86" i="32"/>
  <c r="AD86" i="32"/>
  <c r="P88" i="32"/>
  <c r="P97" i="32"/>
  <c r="P93" i="32"/>
  <c r="P90" i="32"/>
  <c r="P96" i="32"/>
  <c r="P87" i="32"/>
  <c r="P92" i="32"/>
  <c r="P95" i="32"/>
  <c r="P86" i="32"/>
  <c r="P89" i="32"/>
  <c r="P94" i="32"/>
  <c r="W100" i="32"/>
  <c r="AA100" i="32"/>
  <c r="H87" i="32"/>
  <c r="P69" i="32"/>
  <c r="P70" i="32"/>
  <c r="P68" i="32"/>
  <c r="P63" i="32"/>
  <c r="P71" i="32"/>
  <c r="P64" i="32"/>
  <c r="P72" i="32"/>
  <c r="P65" i="32"/>
  <c r="P73" i="32"/>
  <c r="P66" i="32"/>
  <c r="P74" i="32"/>
  <c r="AH63" i="32"/>
  <c r="W77" i="32"/>
  <c r="AD63" i="32"/>
  <c r="AA77" i="32"/>
  <c r="X64" i="32" l="1"/>
  <c r="Y64" i="32"/>
  <c r="X87" i="32"/>
  <c r="Y87" i="32"/>
  <c r="X68" i="32"/>
  <c r="Y68" i="32"/>
  <c r="X96" i="32"/>
  <c r="Y96" i="32"/>
  <c r="Y89" i="32"/>
  <c r="X89" i="32"/>
  <c r="X72" i="32"/>
  <c r="Y72" i="32"/>
  <c r="X95" i="32"/>
  <c r="Y95" i="32"/>
  <c r="X71" i="32"/>
  <c r="Y71" i="32"/>
  <c r="X90" i="32"/>
  <c r="Y90" i="32"/>
  <c r="X97" i="32"/>
  <c r="I120" i="32" s="1"/>
  <c r="Y97" i="32"/>
  <c r="Y86" i="32"/>
  <c r="AF86" i="32" s="1"/>
  <c r="X86" i="32"/>
  <c r="X92" i="32"/>
  <c r="Y92" i="32"/>
  <c r="X69" i="32"/>
  <c r="Y69" i="32"/>
  <c r="X93" i="32"/>
  <c r="I116" i="32" s="1"/>
  <c r="Y93" i="32"/>
  <c r="X74" i="32"/>
  <c r="Y74" i="32"/>
  <c r="X88" i="32"/>
  <c r="Y88" i="32"/>
  <c r="Y65" i="32"/>
  <c r="X65" i="32"/>
  <c r="X91" i="32"/>
  <c r="Y91" i="32"/>
  <c r="Y63" i="32"/>
  <c r="X63" i="32"/>
  <c r="X70" i="32"/>
  <c r="Y70" i="32"/>
  <c r="X66" i="32"/>
  <c r="Y66" i="32"/>
  <c r="X73" i="32"/>
  <c r="Y73" i="32"/>
  <c r="X94" i="32"/>
  <c r="Y94" i="32"/>
  <c r="AG116" i="39"/>
  <c r="H116" i="39"/>
  <c r="AH116" i="39"/>
  <c r="R116" i="39"/>
  <c r="AD116" i="39"/>
  <c r="M116" i="39"/>
  <c r="AE116" i="39"/>
  <c r="AF116" i="39"/>
  <c r="AI115" i="39"/>
  <c r="AI85" i="39"/>
  <c r="D87" i="39"/>
  <c r="AG86" i="39"/>
  <c r="M86" i="39"/>
  <c r="H86" i="39"/>
  <c r="AD86" i="39"/>
  <c r="R86" i="39"/>
  <c r="AH86" i="39"/>
  <c r="AF86" i="39"/>
  <c r="AE86" i="39"/>
  <c r="AI54" i="39"/>
  <c r="D56" i="39"/>
  <c r="AG55" i="39"/>
  <c r="M55" i="39"/>
  <c r="H55" i="39"/>
  <c r="AD55" i="39"/>
  <c r="R55" i="39"/>
  <c r="AH55" i="39"/>
  <c r="AF55" i="39"/>
  <c r="AE55" i="39"/>
  <c r="AI106" i="38"/>
  <c r="R107" i="38"/>
  <c r="H107" i="38"/>
  <c r="M107" i="38"/>
  <c r="AD107" i="38"/>
  <c r="AF107" i="38"/>
  <c r="AE107" i="38"/>
  <c r="AG107" i="38"/>
  <c r="AH107" i="38"/>
  <c r="AL53" i="38"/>
  <c r="D82" i="38"/>
  <c r="AG81" i="38"/>
  <c r="AD81" i="38"/>
  <c r="H81" i="38"/>
  <c r="R81" i="38"/>
  <c r="AH81" i="38"/>
  <c r="M81" i="38"/>
  <c r="AE81" i="38"/>
  <c r="AF81" i="38"/>
  <c r="AL54" i="38"/>
  <c r="AL51" i="38"/>
  <c r="AI80" i="38"/>
  <c r="AL45" i="38"/>
  <c r="U126" i="38" s="1"/>
  <c r="AL50" i="38"/>
  <c r="AL44" i="38"/>
  <c r="U125" i="38" s="1"/>
  <c r="O126" i="38" s="1"/>
  <c r="Q126" i="38" s="1"/>
  <c r="AI55" i="38"/>
  <c r="AN55" i="38"/>
  <c r="F9" i="41" s="1"/>
  <c r="AK55" i="38"/>
  <c r="F7" i="41" s="1"/>
  <c r="AL41" i="38"/>
  <c r="U122" i="38" s="1"/>
  <c r="AL42" i="38"/>
  <c r="U123" i="38" s="1"/>
  <c r="AL40" i="38"/>
  <c r="U121" i="38" s="1"/>
  <c r="O122" i="38" s="1"/>
  <c r="Q122" i="38" s="1"/>
  <c r="AL48" i="38"/>
  <c r="AL46" i="38"/>
  <c r="AL47" i="38"/>
  <c r="AL49" i="38"/>
  <c r="AE58" i="38"/>
  <c r="AL43" i="38"/>
  <c r="U124" i="38" s="1"/>
  <c r="AL52" i="38"/>
  <c r="AL39" i="38"/>
  <c r="AN65" i="37"/>
  <c r="AS65" i="37" s="1"/>
  <c r="AN63" i="37"/>
  <c r="AS63" i="37" s="1"/>
  <c r="AQ66" i="37"/>
  <c r="AL84" i="37"/>
  <c r="AN62" i="37"/>
  <c r="AS62" i="37" s="1"/>
  <c r="M120" i="37" s="1"/>
  <c r="AN58" i="37"/>
  <c r="AS58" i="37" s="1"/>
  <c r="AN60" i="37"/>
  <c r="AS60" i="37" s="1"/>
  <c r="AD69" i="37"/>
  <c r="AK59" i="37"/>
  <c r="AQ59" i="37" s="1"/>
  <c r="AK61" i="37"/>
  <c r="AQ61" i="37" s="1"/>
  <c r="AN59" i="37"/>
  <c r="AS59" i="37" s="1"/>
  <c r="M117" i="37" s="1"/>
  <c r="AK62" i="37"/>
  <c r="AQ62" i="37" s="1"/>
  <c r="K100" i="37" s="1"/>
  <c r="AK60" i="37"/>
  <c r="AQ60" i="37" s="1"/>
  <c r="K98" i="37" s="1"/>
  <c r="AK63" i="37"/>
  <c r="AQ63" i="37" s="1"/>
  <c r="K101" i="37" s="1"/>
  <c r="AN61" i="37"/>
  <c r="AS61" i="37" s="1"/>
  <c r="M119" i="37" s="1"/>
  <c r="AK65" i="37"/>
  <c r="AQ65" i="37" s="1"/>
  <c r="K103" i="37" s="1"/>
  <c r="AK79" i="37"/>
  <c r="AD88" i="37"/>
  <c r="AN77" i="37"/>
  <c r="AN80" i="37"/>
  <c r="AN79" i="37"/>
  <c r="AN78" i="37"/>
  <c r="AK78" i="37"/>
  <c r="AK81" i="37"/>
  <c r="AK80" i="37"/>
  <c r="AN81" i="37"/>
  <c r="AN83" i="37"/>
  <c r="AK82" i="37"/>
  <c r="AN85" i="37"/>
  <c r="D17" i="41" s="1"/>
  <c r="AL65" i="37"/>
  <c r="AR65" i="37" s="1"/>
  <c r="S103" i="37" s="1"/>
  <c r="AN66" i="37"/>
  <c r="P97" i="37"/>
  <c r="AN84" i="37"/>
  <c r="AL58" i="37"/>
  <c r="AR58" i="37" s="1"/>
  <c r="AF69" i="37"/>
  <c r="AL59" i="37"/>
  <c r="AR59" i="37" s="1"/>
  <c r="AL61" i="37"/>
  <c r="AR61" i="37" s="1"/>
  <c r="AL62" i="37"/>
  <c r="AR62" i="37" s="1"/>
  <c r="S100" i="37" s="1"/>
  <c r="AL60" i="37"/>
  <c r="AR60" i="37" s="1"/>
  <c r="S98" i="37" s="1"/>
  <c r="AL64" i="37"/>
  <c r="AR64" i="37" s="1"/>
  <c r="AL66" i="37"/>
  <c r="AL63" i="37"/>
  <c r="AR63" i="37" s="1"/>
  <c r="S101" i="37" s="1"/>
  <c r="AE88" i="37"/>
  <c r="AL85" i="37"/>
  <c r="D16" i="41" s="1"/>
  <c r="AK83" i="37"/>
  <c r="AF88" i="37"/>
  <c r="AL77" i="37"/>
  <c r="AL78" i="37"/>
  <c r="AL79" i="37"/>
  <c r="U98" i="37" s="1"/>
  <c r="O99" i="37" s="1"/>
  <c r="Q99" i="37" s="1"/>
  <c r="AL82" i="37"/>
  <c r="U101" i="37" s="1"/>
  <c r="O102" i="37" s="1"/>
  <c r="Q102" i="37" s="1"/>
  <c r="AL81" i="37"/>
  <c r="U100" i="37" s="1"/>
  <c r="O101" i="37" s="1"/>
  <c r="Q101" i="37" s="1"/>
  <c r="AL80" i="37"/>
  <c r="U99" i="37" s="1"/>
  <c r="O100" i="37" s="1"/>
  <c r="Q100" i="37" s="1"/>
  <c r="AL83" i="37"/>
  <c r="U102" i="37" s="1"/>
  <c r="O103" i="37" s="1"/>
  <c r="Q103" i="37" s="1"/>
  <c r="L116" i="37"/>
  <c r="AN82" i="37"/>
  <c r="AE69" i="37"/>
  <c r="AN64" i="37"/>
  <c r="AS64" i="37" s="1"/>
  <c r="M122" i="37" s="1"/>
  <c r="O98" i="37"/>
  <c r="Q98" i="37" s="1"/>
  <c r="AK84" i="37"/>
  <c r="AK64" i="37"/>
  <c r="AQ64" i="37" s="1"/>
  <c r="M87" i="32"/>
  <c r="H68" i="32"/>
  <c r="M72" i="32"/>
  <c r="H72" i="32"/>
  <c r="M74" i="32"/>
  <c r="H69" i="32"/>
  <c r="H71" i="32"/>
  <c r="H65" i="32"/>
  <c r="M68" i="32"/>
  <c r="M73" i="32"/>
  <c r="M66" i="32"/>
  <c r="M64" i="32"/>
  <c r="M69" i="32"/>
  <c r="H70" i="32"/>
  <c r="M67" i="32"/>
  <c r="H66" i="32"/>
  <c r="M70" i="32"/>
  <c r="M71" i="32"/>
  <c r="H64" i="32"/>
  <c r="M65" i="32"/>
  <c r="H67" i="32"/>
  <c r="H73" i="32"/>
  <c r="H74" i="32"/>
  <c r="M86" i="32"/>
  <c r="L100" i="32"/>
  <c r="M63" i="32"/>
  <c r="L77" i="32"/>
  <c r="AE87" i="32"/>
  <c r="AF87" i="32"/>
  <c r="P100" i="32"/>
  <c r="R87" i="32"/>
  <c r="AD87" i="32"/>
  <c r="AG87" i="32"/>
  <c r="AH87" i="32"/>
  <c r="Q100" i="32"/>
  <c r="R86" i="32"/>
  <c r="AD64" i="32"/>
  <c r="R64" i="32"/>
  <c r="AH64" i="32"/>
  <c r="AG64" i="32"/>
  <c r="Q77" i="32"/>
  <c r="R63" i="32"/>
  <c r="AB90" i="32" l="1"/>
  <c r="AB92" i="32"/>
  <c r="AB89" i="32"/>
  <c r="AB88" i="32"/>
  <c r="I119" i="32"/>
  <c r="I118" i="32"/>
  <c r="I117" i="32"/>
  <c r="AR66" i="37"/>
  <c r="D12" i="41"/>
  <c r="AS66" i="37"/>
  <c r="D13" i="41"/>
  <c r="M126" i="37"/>
  <c r="AI116" i="39"/>
  <c r="AG117" i="39"/>
  <c r="H117" i="39"/>
  <c r="AE117" i="39"/>
  <c r="AD117" i="39"/>
  <c r="M117" i="39"/>
  <c r="R117" i="39"/>
  <c r="AF117" i="39"/>
  <c r="AH117" i="39"/>
  <c r="AI86" i="39"/>
  <c r="D88" i="39"/>
  <c r="AG87" i="39"/>
  <c r="AD87" i="39"/>
  <c r="H87" i="39"/>
  <c r="R87" i="39"/>
  <c r="AE87" i="39"/>
  <c r="AF87" i="39"/>
  <c r="M87" i="39"/>
  <c r="AH87" i="39"/>
  <c r="D57" i="39"/>
  <c r="AG56" i="39"/>
  <c r="AD56" i="39"/>
  <c r="H56" i="39"/>
  <c r="AH56" i="39"/>
  <c r="M56" i="39"/>
  <c r="AF56" i="39"/>
  <c r="AE56" i="39"/>
  <c r="R56" i="39"/>
  <c r="AI55" i="39"/>
  <c r="AI107" i="38"/>
  <c r="R108" i="38"/>
  <c r="H108" i="38"/>
  <c r="M108" i="38"/>
  <c r="AG108" i="38"/>
  <c r="AD108" i="38"/>
  <c r="AH108" i="38"/>
  <c r="AF108" i="38"/>
  <c r="AE108" i="38"/>
  <c r="AG82" i="38"/>
  <c r="H82" i="38"/>
  <c r="AH82" i="38"/>
  <c r="AH85" i="38" s="1"/>
  <c r="AD82" i="38"/>
  <c r="AE82" i="38"/>
  <c r="R82" i="38"/>
  <c r="R85" i="38" s="1"/>
  <c r="M82" i="38"/>
  <c r="M85" i="38" s="1"/>
  <c r="AF82" i="38"/>
  <c r="AF85" i="38" s="1"/>
  <c r="AL82" i="38"/>
  <c r="F12" i="41" s="1"/>
  <c r="AI81" i="38"/>
  <c r="P121" i="38"/>
  <c r="AG39" i="38"/>
  <c r="E148" i="38"/>
  <c r="Z58" i="38"/>
  <c r="O123" i="38"/>
  <c r="Q123" i="38" s="1"/>
  <c r="R122" i="38"/>
  <c r="R126" i="38"/>
  <c r="O127" i="38"/>
  <c r="Q127" i="38" s="1"/>
  <c r="O125" i="38"/>
  <c r="Q125" i="38" s="1"/>
  <c r="R125" i="38" s="1"/>
  <c r="O124" i="38"/>
  <c r="Q124" i="38" s="1"/>
  <c r="S107" i="37"/>
  <c r="AQ82" i="37"/>
  <c r="L101" i="37" s="1"/>
  <c r="AQ80" i="37"/>
  <c r="AR78" i="37"/>
  <c r="AR83" i="37"/>
  <c r="AS84" i="37"/>
  <c r="AR79" i="37"/>
  <c r="T98" i="37" s="1"/>
  <c r="R98" i="37" s="1"/>
  <c r="AS79" i="37"/>
  <c r="AS82" i="37"/>
  <c r="AS80" i="37"/>
  <c r="AQ83" i="37"/>
  <c r="AS83" i="37"/>
  <c r="AS81" i="37"/>
  <c r="AQ78" i="37"/>
  <c r="AS85" i="37"/>
  <c r="AS78" i="37"/>
  <c r="AR80" i="37"/>
  <c r="Z88" i="37"/>
  <c r="AG77" i="37"/>
  <c r="AB77" i="37"/>
  <c r="AB88" i="37" s="1"/>
  <c r="N116" i="37"/>
  <c r="AS77" i="37"/>
  <c r="AR81" i="37"/>
  <c r="T100" i="37" s="1"/>
  <c r="R100" i="37" s="1"/>
  <c r="U104" i="37"/>
  <c r="D20" i="41" s="1"/>
  <c r="AR85" i="37"/>
  <c r="P107" i="37"/>
  <c r="Q97" i="37"/>
  <c r="R102" i="37"/>
  <c r="AQ81" i="37"/>
  <c r="L100" i="37" s="1"/>
  <c r="AQ79" i="37"/>
  <c r="L98" i="37" s="1"/>
  <c r="U103" i="37"/>
  <c r="AR84" i="37"/>
  <c r="T103" i="37" s="1"/>
  <c r="AR82" i="37"/>
  <c r="T101" i="37" s="1"/>
  <c r="R101" i="37" s="1"/>
  <c r="AQ85" i="37"/>
  <c r="Z69" i="37"/>
  <c r="AG58" i="37"/>
  <c r="AB58" i="37"/>
  <c r="AB69" i="37" s="1"/>
  <c r="K107" i="37"/>
  <c r="AQ84" i="37"/>
  <c r="L103" i="37" s="1"/>
  <c r="E116" i="37"/>
  <c r="Z50" i="37"/>
  <c r="AG39" i="37"/>
  <c r="AB39" i="37"/>
  <c r="AB50" i="37" s="1"/>
  <c r="G97" i="37"/>
  <c r="G107" i="37" s="1"/>
  <c r="AR77" i="37"/>
  <c r="R99" i="37"/>
  <c r="R88" i="32"/>
  <c r="H88" i="32"/>
  <c r="M88" i="32"/>
  <c r="M77" i="32"/>
  <c r="AB93" i="32"/>
  <c r="AB94" i="32"/>
  <c r="AB91" i="32"/>
  <c r="AB95" i="32"/>
  <c r="AB97" i="32"/>
  <c r="AF88" i="32"/>
  <c r="AB96" i="32"/>
  <c r="AE86" i="32"/>
  <c r="X100" i="32"/>
  <c r="AB86" i="32"/>
  <c r="Y100" i="32"/>
  <c r="AB87" i="32"/>
  <c r="AI87" i="32"/>
  <c r="AG88" i="32"/>
  <c r="AH88" i="32"/>
  <c r="AD88" i="32"/>
  <c r="AE88" i="32"/>
  <c r="R65" i="32"/>
  <c r="AH65" i="32"/>
  <c r="AG65" i="32"/>
  <c r="AD65" i="32"/>
  <c r="T107" i="37" l="1"/>
  <c r="AL81" i="38"/>
  <c r="AR81" i="38" s="1"/>
  <c r="AI117" i="39"/>
  <c r="AG118" i="39"/>
  <c r="H118" i="39"/>
  <c r="R118" i="39"/>
  <c r="AH118" i="39"/>
  <c r="AD118" i="39"/>
  <c r="M118" i="39"/>
  <c r="AF118" i="39"/>
  <c r="AE118" i="39"/>
  <c r="AI87" i="39"/>
  <c r="D89" i="39"/>
  <c r="AG88" i="39"/>
  <c r="H88" i="39"/>
  <c r="AD88" i="39"/>
  <c r="M88" i="39"/>
  <c r="R88" i="39"/>
  <c r="AH88" i="39"/>
  <c r="AE88" i="39"/>
  <c r="AF88" i="39"/>
  <c r="D58" i="39"/>
  <c r="AG57" i="39"/>
  <c r="H57" i="39"/>
  <c r="AE57" i="39"/>
  <c r="AF57" i="39"/>
  <c r="AD57" i="39"/>
  <c r="M57" i="39"/>
  <c r="R57" i="39"/>
  <c r="AH57" i="39"/>
  <c r="AI56" i="39"/>
  <c r="AL71" i="38"/>
  <c r="AR71" i="38" s="1"/>
  <c r="AK68" i="38"/>
  <c r="AI108" i="38"/>
  <c r="AL66" i="38"/>
  <c r="AR66" i="38" s="1"/>
  <c r="AL79" i="38"/>
  <c r="AR79" i="38" s="1"/>
  <c r="AD85" i="38"/>
  <c r="AG66" i="38" s="1"/>
  <c r="AK66" i="38" s="1"/>
  <c r="H109" i="38"/>
  <c r="R109" i="38"/>
  <c r="R112" i="38" s="1"/>
  <c r="M109" i="38"/>
  <c r="M112" i="38" s="1"/>
  <c r="AH109" i="38"/>
  <c r="AL109" i="38"/>
  <c r="AF109" i="38"/>
  <c r="AF112" i="38" s="1"/>
  <c r="AE109" i="38"/>
  <c r="AG109" i="38"/>
  <c r="AD109" i="38"/>
  <c r="AN68" i="38"/>
  <c r="AK69" i="38"/>
  <c r="AK80" i="38"/>
  <c r="AN81" i="38"/>
  <c r="AN67" i="38"/>
  <c r="AN69" i="38"/>
  <c r="AN80" i="38"/>
  <c r="AN76" i="38"/>
  <c r="AL69" i="38"/>
  <c r="AI82" i="38"/>
  <c r="AN82" i="38"/>
  <c r="F13" i="41" s="1"/>
  <c r="AK82" i="38"/>
  <c r="F11" i="41" s="1"/>
  <c r="AK78" i="38"/>
  <c r="AN74" i="38"/>
  <c r="AN78" i="38"/>
  <c r="AK77" i="38"/>
  <c r="AK76" i="38"/>
  <c r="AK74" i="38"/>
  <c r="AN75" i="38"/>
  <c r="AN73" i="38"/>
  <c r="AK72" i="38"/>
  <c r="AN70" i="38"/>
  <c r="AK81" i="38"/>
  <c r="AL80" i="38"/>
  <c r="AK75" i="38"/>
  <c r="AK70" i="38"/>
  <c r="AK71" i="38"/>
  <c r="AN66" i="38"/>
  <c r="AL67" i="38"/>
  <c r="AR82" i="38"/>
  <c r="AK73" i="38"/>
  <c r="AN71" i="38"/>
  <c r="AK67" i="38"/>
  <c r="AL78" i="38"/>
  <c r="AR78" i="38" s="1"/>
  <c r="AL70" i="38"/>
  <c r="AL72" i="38"/>
  <c r="AL74" i="38"/>
  <c r="AL75" i="38"/>
  <c r="AR75" i="38" s="1"/>
  <c r="AL76" i="38"/>
  <c r="AR76" i="38" s="1"/>
  <c r="AK79" i="38"/>
  <c r="AE85" i="38"/>
  <c r="AN77" i="38"/>
  <c r="AN79" i="38"/>
  <c r="AN72" i="38"/>
  <c r="AL73" i="38"/>
  <c r="AL68" i="38"/>
  <c r="AL77" i="38"/>
  <c r="AR77" i="38" s="1"/>
  <c r="F148" i="38"/>
  <c r="G148" i="38" s="1"/>
  <c r="R124" i="38"/>
  <c r="AG58" i="38"/>
  <c r="R123" i="38"/>
  <c r="P139" i="38"/>
  <c r="Q121" i="38"/>
  <c r="R121" i="38" s="1"/>
  <c r="L107" i="37"/>
  <c r="R97" i="37"/>
  <c r="F116" i="37"/>
  <c r="O116" i="37"/>
  <c r="O104" i="37"/>
  <c r="Q104" i="37" s="1"/>
  <c r="R103" i="37"/>
  <c r="AG88" i="37"/>
  <c r="AI77" i="37"/>
  <c r="AI88" i="37" s="1"/>
  <c r="AK77" i="37"/>
  <c r="AG50" i="37"/>
  <c r="AI39" i="37"/>
  <c r="AI50" i="37" s="1"/>
  <c r="AK39" i="37"/>
  <c r="AG69" i="37"/>
  <c r="AI58" i="37"/>
  <c r="AI69" i="37" s="1"/>
  <c r="AK58" i="37"/>
  <c r="H89" i="32"/>
  <c r="M89" i="32"/>
  <c r="AI86" i="32"/>
  <c r="AI88" i="32"/>
  <c r="AG89" i="32"/>
  <c r="AD89" i="32"/>
  <c r="AE89" i="32"/>
  <c r="AH89" i="32"/>
  <c r="AF89" i="32"/>
  <c r="R89" i="32"/>
  <c r="AG66" i="32"/>
  <c r="AD66" i="32"/>
  <c r="AH66" i="32"/>
  <c r="R66" i="32"/>
  <c r="O54" i="32"/>
  <c r="J54" i="32"/>
  <c r="K46" i="32" s="1"/>
  <c r="T143" i="32"/>
  <c r="F51" i="32"/>
  <c r="T142" i="32"/>
  <c r="F50" i="32"/>
  <c r="W50" i="32" s="1"/>
  <c r="T141" i="32"/>
  <c r="F49" i="32"/>
  <c r="W49" i="32" s="1"/>
  <c r="T140" i="32"/>
  <c r="F48" i="32"/>
  <c r="W48" i="32" s="1"/>
  <c r="T139" i="32"/>
  <c r="F47" i="32"/>
  <c r="W47" i="32" s="1"/>
  <c r="T138" i="32"/>
  <c r="F46" i="32"/>
  <c r="W46" i="32" s="1"/>
  <c r="T137" i="32"/>
  <c r="F45" i="32"/>
  <c r="W45" i="32" s="1"/>
  <c r="T136" i="32"/>
  <c r="F44" i="32"/>
  <c r="W44" i="32" s="1"/>
  <c r="T135" i="32"/>
  <c r="F43" i="32"/>
  <c r="W43" i="32" s="1"/>
  <c r="T134" i="32"/>
  <c r="T133" i="32"/>
  <c r="F41" i="32"/>
  <c r="W41" i="32" s="1"/>
  <c r="F40" i="32"/>
  <c r="W40" i="32" s="1"/>
  <c r="D40" i="32"/>
  <c r="U136" i="38" l="1"/>
  <c r="F20" i="41" s="1"/>
  <c r="F16" i="41"/>
  <c r="I116" i="37"/>
  <c r="P116" i="37"/>
  <c r="L117" i="37" s="1"/>
  <c r="N117" i="37" s="1"/>
  <c r="AL108" i="38"/>
  <c r="U135" i="38" s="1"/>
  <c r="O136" i="38" s="1"/>
  <c r="Q136" i="38" s="1"/>
  <c r="AA51" i="32"/>
  <c r="AO51" i="32" s="1"/>
  <c r="E10" i="41" s="1"/>
  <c r="AN100" i="38"/>
  <c r="AS100" i="38" s="1"/>
  <c r="AA47" i="32"/>
  <c r="G48" i="32"/>
  <c r="AA43" i="32"/>
  <c r="X135" i="32" s="1"/>
  <c r="G44" i="32"/>
  <c r="G43" i="32"/>
  <c r="G40" i="32"/>
  <c r="AA40" i="32"/>
  <c r="G41" i="32"/>
  <c r="AA45" i="32"/>
  <c r="X137" i="32" s="1"/>
  <c r="G46" i="32"/>
  <c r="G50" i="32"/>
  <c r="AA44" i="32"/>
  <c r="X136" i="32" s="1"/>
  <c r="G45" i="32"/>
  <c r="G49" i="32"/>
  <c r="S134" i="32"/>
  <c r="G42" i="32"/>
  <c r="AA41" i="32"/>
  <c r="X133" i="32" s="1"/>
  <c r="AA42" i="32"/>
  <c r="X134" i="32" s="1"/>
  <c r="AA46" i="32"/>
  <c r="G47" i="32"/>
  <c r="G51" i="32"/>
  <c r="AI118" i="39"/>
  <c r="AG119" i="39"/>
  <c r="M119" i="39"/>
  <c r="AD119" i="39"/>
  <c r="H119" i="39"/>
  <c r="R119" i="39"/>
  <c r="AF119" i="39"/>
  <c r="AH119" i="39"/>
  <c r="AE119" i="39"/>
  <c r="AI88" i="39"/>
  <c r="D90" i="39"/>
  <c r="AG89" i="39"/>
  <c r="H89" i="39"/>
  <c r="AD89" i="39"/>
  <c r="R89" i="39"/>
  <c r="AH89" i="39"/>
  <c r="M89" i="39"/>
  <c r="AF89" i="39"/>
  <c r="AE89" i="39"/>
  <c r="AI57" i="39"/>
  <c r="D59" i="39"/>
  <c r="AG58" i="39"/>
  <c r="H58" i="39"/>
  <c r="AD58" i="39"/>
  <c r="M58" i="39"/>
  <c r="R58" i="39"/>
  <c r="AF58" i="39"/>
  <c r="AH58" i="39"/>
  <c r="AE58" i="39"/>
  <c r="AB66" i="38"/>
  <c r="AB85" i="38" s="1"/>
  <c r="Z85" i="38"/>
  <c r="AN98" i="38"/>
  <c r="AS98" i="38" s="1"/>
  <c r="AN102" i="38"/>
  <c r="AS102" i="38" s="1"/>
  <c r="AL93" i="38"/>
  <c r="AR93" i="38" s="1"/>
  <c r="AK105" i="38"/>
  <c r="AQ105" i="38" s="1"/>
  <c r="AK100" i="38"/>
  <c r="AQ100" i="38" s="1"/>
  <c r="L127" i="38" s="1"/>
  <c r="AL101" i="38"/>
  <c r="U128" i="38" s="1"/>
  <c r="O129" i="38" s="1"/>
  <c r="Q129" i="38" s="1"/>
  <c r="AL100" i="38"/>
  <c r="U127" i="38" s="1"/>
  <c r="O128" i="38" s="1"/>
  <c r="Q128" i="38" s="1"/>
  <c r="AL103" i="38"/>
  <c r="AL102" i="38"/>
  <c r="AK107" i="38"/>
  <c r="AQ107" i="38" s="1"/>
  <c r="AK97" i="38"/>
  <c r="AQ97" i="38" s="1"/>
  <c r="AK102" i="38"/>
  <c r="AQ102" i="38" s="1"/>
  <c r="AK98" i="38"/>
  <c r="AQ98" i="38" s="1"/>
  <c r="AN94" i="38"/>
  <c r="AS94" i="38" s="1"/>
  <c r="AL104" i="38"/>
  <c r="AK94" i="38"/>
  <c r="AQ94" i="38" s="1"/>
  <c r="AL105" i="38"/>
  <c r="AN105" i="38"/>
  <c r="AS105" i="38" s="1"/>
  <c r="AH112" i="38"/>
  <c r="AL94" i="38"/>
  <c r="AR94" i="38" s="1"/>
  <c r="AK101" i="38"/>
  <c r="AQ101" i="38" s="1"/>
  <c r="AK104" i="38"/>
  <c r="AQ104" i="38" s="1"/>
  <c r="AN97" i="38"/>
  <c r="AS97" i="38" s="1"/>
  <c r="AL96" i="38"/>
  <c r="AR96" i="38" s="1"/>
  <c r="AR109" i="38"/>
  <c r="AK96" i="38"/>
  <c r="AQ96" i="38" s="1"/>
  <c r="AN96" i="38"/>
  <c r="AS96" i="38" s="1"/>
  <c r="AE112" i="38"/>
  <c r="AL95" i="38"/>
  <c r="AR95" i="38" s="1"/>
  <c r="AN106" i="38"/>
  <c r="AS106" i="38" s="1"/>
  <c r="AK99" i="38"/>
  <c r="AQ99" i="38" s="1"/>
  <c r="AN99" i="38"/>
  <c r="AS99" i="38" s="1"/>
  <c r="AL97" i="38"/>
  <c r="AR97" i="38" s="1"/>
  <c r="AL99" i="38"/>
  <c r="AR99" i="38" s="1"/>
  <c r="AK106" i="38"/>
  <c r="AQ106" i="38" s="1"/>
  <c r="AK95" i="38"/>
  <c r="AQ95" i="38" s="1"/>
  <c r="AN95" i="38"/>
  <c r="AS95" i="38" s="1"/>
  <c r="AL106" i="38"/>
  <c r="U133" i="38" s="1"/>
  <c r="AN109" i="38"/>
  <c r="AI109" i="38"/>
  <c r="AK109" i="38"/>
  <c r="AN104" i="38"/>
  <c r="AS104" i="38" s="1"/>
  <c r="AK103" i="38"/>
  <c r="AQ103" i="38" s="1"/>
  <c r="AN101" i="38"/>
  <c r="AS101" i="38" s="1"/>
  <c r="AN103" i="38"/>
  <c r="AS103" i="38" s="1"/>
  <c r="AK108" i="38"/>
  <c r="AQ108" i="38" s="1"/>
  <c r="AL107" i="38"/>
  <c r="U134" i="38" s="1"/>
  <c r="AL98" i="38"/>
  <c r="AR98" i="38" s="1"/>
  <c r="AN93" i="38"/>
  <c r="AS93" i="38" s="1"/>
  <c r="AD112" i="38"/>
  <c r="AN108" i="38"/>
  <c r="AS108" i="38" s="1"/>
  <c r="AN107" i="38"/>
  <c r="AS107" i="38" s="1"/>
  <c r="AR72" i="38"/>
  <c r="AR70" i="38"/>
  <c r="AQ82" i="38"/>
  <c r="AR68" i="38"/>
  <c r="AR67" i="38"/>
  <c r="AS82" i="38"/>
  <c r="AR74" i="38"/>
  <c r="AR73" i="38"/>
  <c r="S127" i="38" s="1"/>
  <c r="AI66" i="38"/>
  <c r="AI85" i="38" s="1"/>
  <c r="AG85" i="38"/>
  <c r="AR80" i="38"/>
  <c r="AR69" i="38"/>
  <c r="H148" i="38"/>
  <c r="I148" i="38"/>
  <c r="T166" i="38"/>
  <c r="U148" i="38"/>
  <c r="G116" i="37"/>
  <c r="AQ58" i="37"/>
  <c r="AQ77" i="37"/>
  <c r="R104" i="37"/>
  <c r="T126" i="37"/>
  <c r="U116" i="37"/>
  <c r="H116" i="37"/>
  <c r="F97" i="37"/>
  <c r="W116" i="37"/>
  <c r="H40" i="32"/>
  <c r="S136" i="32"/>
  <c r="G113" i="32"/>
  <c r="H90" i="32"/>
  <c r="M90" i="32"/>
  <c r="AI89" i="32"/>
  <c r="AG90" i="32"/>
  <c r="AD90" i="32"/>
  <c r="AE90" i="32"/>
  <c r="AH90" i="32"/>
  <c r="R90" i="32"/>
  <c r="AF90" i="32"/>
  <c r="K42" i="32"/>
  <c r="P49" i="32"/>
  <c r="Y49" i="32" s="1"/>
  <c r="AH67" i="32"/>
  <c r="AG67" i="32"/>
  <c r="AD67" i="32"/>
  <c r="R67" i="32"/>
  <c r="P46" i="32"/>
  <c r="Y46" i="32" s="1"/>
  <c r="K40" i="32"/>
  <c r="P44" i="32"/>
  <c r="Y44" i="32" s="1"/>
  <c r="K47" i="32"/>
  <c r="K44" i="32"/>
  <c r="K50" i="32"/>
  <c r="P41" i="32"/>
  <c r="Y41" i="32" s="1"/>
  <c r="K45" i="32"/>
  <c r="K48" i="32"/>
  <c r="P48" i="32"/>
  <c r="Y48" i="32" s="1"/>
  <c r="K43" i="32"/>
  <c r="K49" i="32"/>
  <c r="P42" i="32"/>
  <c r="Y42" i="32" s="1"/>
  <c r="P43" i="32"/>
  <c r="Y43" i="32" s="1"/>
  <c r="P50" i="32"/>
  <c r="Y50" i="32" s="1"/>
  <c r="P51" i="32"/>
  <c r="Y51" i="32" s="1"/>
  <c r="K51" i="32"/>
  <c r="P40" i="32"/>
  <c r="Y40" i="32" s="1"/>
  <c r="K41" i="32"/>
  <c r="P45" i="32"/>
  <c r="Y45" i="32" s="1"/>
  <c r="P47" i="32"/>
  <c r="Y47" i="32" s="1"/>
  <c r="D41" i="32"/>
  <c r="AD39" i="32"/>
  <c r="AG40" i="32"/>
  <c r="AD40" i="32"/>
  <c r="AS109" i="38" l="1"/>
  <c r="F17" i="41"/>
  <c r="AQ109" i="38"/>
  <c r="F15" i="41"/>
  <c r="AH40" i="32"/>
  <c r="X132" i="32"/>
  <c r="AR101" i="38"/>
  <c r="AR108" i="38"/>
  <c r="AA49" i="32"/>
  <c r="W54" i="32"/>
  <c r="AA50" i="32"/>
  <c r="AO50" i="32" s="1"/>
  <c r="J112" i="32"/>
  <c r="L43" i="32"/>
  <c r="Q43" i="32"/>
  <c r="Q47" i="32"/>
  <c r="L47" i="32"/>
  <c r="L49" i="32"/>
  <c r="Q49" i="32"/>
  <c r="L46" i="32"/>
  <c r="Q46" i="32"/>
  <c r="L44" i="32"/>
  <c r="Q44" i="32"/>
  <c r="AA48" i="32"/>
  <c r="J115" i="32"/>
  <c r="J114" i="32"/>
  <c r="G111" i="32"/>
  <c r="L45" i="32"/>
  <c r="Q45" i="32"/>
  <c r="S138" i="32"/>
  <c r="G115" i="32"/>
  <c r="J111" i="32"/>
  <c r="J113" i="32"/>
  <c r="L41" i="32"/>
  <c r="M41" i="32" s="1"/>
  <c r="Q41" i="32"/>
  <c r="R41" i="32" s="1"/>
  <c r="Q48" i="32"/>
  <c r="L48" i="32"/>
  <c r="L51" i="32"/>
  <c r="Q51" i="32"/>
  <c r="J110" i="32"/>
  <c r="S137" i="32"/>
  <c r="G114" i="32"/>
  <c r="J109" i="32"/>
  <c r="Q42" i="32"/>
  <c r="L42" i="32"/>
  <c r="Q50" i="32"/>
  <c r="L50" i="32"/>
  <c r="Q40" i="32"/>
  <c r="R40" i="32" s="1"/>
  <c r="L40" i="32"/>
  <c r="M40" i="32" s="1"/>
  <c r="AI119" i="39"/>
  <c r="AG120" i="39"/>
  <c r="H120" i="39"/>
  <c r="AD120" i="39"/>
  <c r="M120" i="39"/>
  <c r="R120" i="39"/>
  <c r="AE120" i="39"/>
  <c r="AH120" i="39"/>
  <c r="AF120" i="39"/>
  <c r="AI89" i="39"/>
  <c r="AG90" i="39"/>
  <c r="H90" i="39"/>
  <c r="AD90" i="39"/>
  <c r="AH90" i="39"/>
  <c r="AH93" i="39" s="1"/>
  <c r="R90" i="39"/>
  <c r="R93" i="39" s="1"/>
  <c r="M90" i="39"/>
  <c r="M93" i="39" s="1"/>
  <c r="AE90" i="39"/>
  <c r="AF90" i="39"/>
  <c r="AF93" i="39" s="1"/>
  <c r="AL90" i="39"/>
  <c r="G12" i="41" s="1"/>
  <c r="AI58" i="39"/>
  <c r="AL59" i="39"/>
  <c r="G8" i="41" s="1"/>
  <c r="AG59" i="39"/>
  <c r="H59" i="39"/>
  <c r="AD59" i="39"/>
  <c r="AH59" i="39"/>
  <c r="AH62" i="39" s="1"/>
  <c r="AF59" i="39"/>
  <c r="AE59" i="39"/>
  <c r="M59" i="39"/>
  <c r="M62" i="39" s="1"/>
  <c r="R59" i="39"/>
  <c r="R62" i="39" s="1"/>
  <c r="AR105" i="38"/>
  <c r="U132" i="38"/>
  <c r="AR102" i="38"/>
  <c r="U129" i="38"/>
  <c r="O134" i="38"/>
  <c r="Q134" i="38" s="1"/>
  <c r="AR100" i="38"/>
  <c r="T127" i="38" s="1"/>
  <c r="T139" i="38" s="1"/>
  <c r="R136" i="38"/>
  <c r="O135" i="38"/>
  <c r="AR103" i="38"/>
  <c r="U130" i="38"/>
  <c r="AR104" i="38"/>
  <c r="U131" i="38"/>
  <c r="AR107" i="38"/>
  <c r="AR106" i="38"/>
  <c r="AB93" i="38"/>
  <c r="AB112" i="38" s="1"/>
  <c r="AG93" i="38"/>
  <c r="Z112" i="38"/>
  <c r="R128" i="38"/>
  <c r="S139" i="38"/>
  <c r="L139" i="38"/>
  <c r="J148" i="38"/>
  <c r="E149" i="38" s="1"/>
  <c r="F149" i="38" s="1"/>
  <c r="V148" i="38"/>
  <c r="V116" i="37"/>
  <c r="Y116" i="37" s="1"/>
  <c r="R117" i="37" s="1"/>
  <c r="Q107" i="37"/>
  <c r="J116" i="37"/>
  <c r="E117" i="37" s="1"/>
  <c r="O117" i="37"/>
  <c r="F107" i="37"/>
  <c r="H97" i="37"/>
  <c r="M97" i="37" s="1"/>
  <c r="X97" i="37"/>
  <c r="R107" i="37"/>
  <c r="S133" i="32"/>
  <c r="G110" i="32"/>
  <c r="H91" i="32"/>
  <c r="M91" i="32"/>
  <c r="AI90" i="32"/>
  <c r="AG91" i="32"/>
  <c r="AD91" i="32"/>
  <c r="AE91" i="32"/>
  <c r="AH91" i="32"/>
  <c r="R91" i="32"/>
  <c r="AF91" i="32"/>
  <c r="AH41" i="32"/>
  <c r="AB74" i="32"/>
  <c r="AF65" i="32"/>
  <c r="AE66" i="32"/>
  <c r="X49" i="32"/>
  <c r="AB68" i="32"/>
  <c r="P77" i="32"/>
  <c r="AF67" i="32"/>
  <c r="AF64" i="32"/>
  <c r="AH68" i="32"/>
  <c r="AG68" i="32"/>
  <c r="AD68" i="32"/>
  <c r="R68" i="32"/>
  <c r="AF68" i="32"/>
  <c r="K54" i="32"/>
  <c r="X45" i="32"/>
  <c r="I114" i="32" s="1"/>
  <c r="X40" i="32"/>
  <c r="X48" i="32"/>
  <c r="X41" i="32"/>
  <c r="I110" i="32" s="1"/>
  <c r="X51" i="32"/>
  <c r="X50" i="32"/>
  <c r="X46" i="32"/>
  <c r="I115" i="32" s="1"/>
  <c r="X43" i="32"/>
  <c r="I112" i="32" s="1"/>
  <c r="X47" i="32"/>
  <c r="X42" i="32"/>
  <c r="I111" i="32" s="1"/>
  <c r="X44" i="32"/>
  <c r="I113" i="32" s="1"/>
  <c r="P54" i="32"/>
  <c r="AD41" i="32"/>
  <c r="H41" i="32"/>
  <c r="D42" i="32"/>
  <c r="AG41" i="32"/>
  <c r="H149" i="38" l="1"/>
  <c r="P117" i="37"/>
  <c r="L118" i="37" s="1"/>
  <c r="N118" i="37" s="1"/>
  <c r="L54" i="32"/>
  <c r="AO48" i="32"/>
  <c r="AO39" i="32"/>
  <c r="AO49" i="32"/>
  <c r="AO46" i="32"/>
  <c r="AO40" i="32"/>
  <c r="J123" i="32"/>
  <c r="AO47" i="32"/>
  <c r="AO45" i="32"/>
  <c r="S146" i="32"/>
  <c r="AO41" i="32"/>
  <c r="Q54" i="32"/>
  <c r="AO43" i="32"/>
  <c r="AO42" i="32"/>
  <c r="AA54" i="32"/>
  <c r="AO44" i="32"/>
  <c r="X146" i="32"/>
  <c r="AL73" i="39"/>
  <c r="AI120" i="39"/>
  <c r="AL75" i="39"/>
  <c r="AG121" i="39"/>
  <c r="AD121" i="39"/>
  <c r="AD124" i="39" s="1"/>
  <c r="M121" i="39"/>
  <c r="M124" i="39" s="1"/>
  <c r="AH121" i="39"/>
  <c r="H121" i="39"/>
  <c r="R121" i="39"/>
  <c r="R124" i="39" s="1"/>
  <c r="AE121" i="39"/>
  <c r="AF121" i="39"/>
  <c r="AL121" i="39"/>
  <c r="AL74" i="39"/>
  <c r="AN87" i="39"/>
  <c r="AK86" i="39"/>
  <c r="AL78" i="39"/>
  <c r="AN82" i="39"/>
  <c r="AK78" i="39"/>
  <c r="AN78" i="39"/>
  <c r="AN75" i="39"/>
  <c r="AK87" i="39"/>
  <c r="AR90" i="39"/>
  <c r="AL71" i="39"/>
  <c r="AN80" i="39"/>
  <c r="AK71" i="39"/>
  <c r="AK74" i="39"/>
  <c r="AK82" i="39"/>
  <c r="AK90" i="39"/>
  <c r="G11" i="41" s="1"/>
  <c r="AN90" i="39"/>
  <c r="G13" i="41" s="1"/>
  <c r="AN83" i="39"/>
  <c r="AN81" i="39"/>
  <c r="AK83" i="39"/>
  <c r="AN85" i="39"/>
  <c r="AK84" i="39"/>
  <c r="AI90" i="39"/>
  <c r="AL81" i="39"/>
  <c r="AL82" i="39"/>
  <c r="AL83" i="39"/>
  <c r="AL76" i="39"/>
  <c r="AN84" i="39"/>
  <c r="AN76" i="39"/>
  <c r="AD93" i="39"/>
  <c r="AN72" i="39"/>
  <c r="AN89" i="39"/>
  <c r="AL89" i="39"/>
  <c r="AL84" i="39"/>
  <c r="AL87" i="39"/>
  <c r="AL79" i="39"/>
  <c r="AN73" i="39"/>
  <c r="AN70" i="39"/>
  <c r="AK79" i="39"/>
  <c r="AK80" i="39"/>
  <c r="AL86" i="39"/>
  <c r="AN88" i="39"/>
  <c r="AL70" i="39"/>
  <c r="AL77" i="39"/>
  <c r="AK88" i="39"/>
  <c r="AK85" i="39"/>
  <c r="AK77" i="39"/>
  <c r="AN79" i="39"/>
  <c r="AL85" i="39"/>
  <c r="AL80" i="39"/>
  <c r="AL72" i="39"/>
  <c r="AN86" i="39"/>
  <c r="AK75" i="39"/>
  <c r="AN71" i="39"/>
  <c r="AK76" i="39"/>
  <c r="AK73" i="39"/>
  <c r="AN77" i="39"/>
  <c r="AL55" i="39"/>
  <c r="AL88" i="39"/>
  <c r="AE93" i="39"/>
  <c r="AN74" i="39"/>
  <c r="AK81" i="39"/>
  <c r="AK72" i="39"/>
  <c r="AK89" i="39"/>
  <c r="AN40" i="39"/>
  <c r="AK44" i="39"/>
  <c r="AN45" i="39"/>
  <c r="AL51" i="39"/>
  <c r="AF62" i="39"/>
  <c r="AE62" i="39"/>
  <c r="AL39" i="39"/>
  <c r="AK54" i="39"/>
  <c r="AK59" i="39"/>
  <c r="G7" i="41" s="1"/>
  <c r="AK51" i="39"/>
  <c r="AN58" i="39"/>
  <c r="AN59" i="39"/>
  <c r="G9" i="41" s="1"/>
  <c r="AK49" i="39"/>
  <c r="AN56" i="39"/>
  <c r="AN53" i="39"/>
  <c r="AN41" i="39"/>
  <c r="AN57" i="39"/>
  <c r="AK40" i="39"/>
  <c r="AN43" i="39"/>
  <c r="AN44" i="39"/>
  <c r="AK56" i="39"/>
  <c r="AN46" i="39"/>
  <c r="AD62" i="39"/>
  <c r="AK42" i="39"/>
  <c r="AN50" i="39"/>
  <c r="AK48" i="39"/>
  <c r="AK55" i="39"/>
  <c r="AN42" i="39"/>
  <c r="AL44" i="39"/>
  <c r="AN51" i="39"/>
  <c r="AK46" i="39"/>
  <c r="AL58" i="39"/>
  <c r="AL47" i="39"/>
  <c r="AL50" i="39"/>
  <c r="AL41" i="39"/>
  <c r="AL49" i="39"/>
  <c r="AK53" i="39"/>
  <c r="AK47" i="39"/>
  <c r="AL42" i="39"/>
  <c r="AN55" i="39"/>
  <c r="AN52" i="39"/>
  <c r="AL40" i="39"/>
  <c r="AL46" i="39"/>
  <c r="AL52" i="39"/>
  <c r="AL56" i="39"/>
  <c r="AK50" i="39"/>
  <c r="AL48" i="39"/>
  <c r="AN54" i="39"/>
  <c r="AN48" i="39"/>
  <c r="AK43" i="39"/>
  <c r="AL54" i="39"/>
  <c r="AL57" i="39"/>
  <c r="AI59" i="39"/>
  <c r="AK57" i="39"/>
  <c r="AN39" i="39"/>
  <c r="AK41" i="39"/>
  <c r="AN49" i="39"/>
  <c r="AL43" i="39"/>
  <c r="AK52" i="39"/>
  <c r="AL53" i="39"/>
  <c r="AL45" i="39"/>
  <c r="AK58" i="39"/>
  <c r="AN47" i="39"/>
  <c r="AK45" i="39"/>
  <c r="R127" i="38"/>
  <c r="O131" i="38"/>
  <c r="Q131" i="38" s="1"/>
  <c r="O130" i="38"/>
  <c r="Q130" i="38" s="1"/>
  <c r="R129" i="38"/>
  <c r="O132" i="38"/>
  <c r="Q132" i="38" s="1"/>
  <c r="Q135" i="38"/>
  <c r="R135" i="38" s="1"/>
  <c r="O133" i="38"/>
  <c r="R134" i="38"/>
  <c r="AI93" i="38"/>
  <c r="AI112" i="38" s="1"/>
  <c r="AG112" i="38"/>
  <c r="AK93" i="38"/>
  <c r="AQ93" i="38" s="1"/>
  <c r="G149" i="38"/>
  <c r="I149" i="38"/>
  <c r="Z116" i="37"/>
  <c r="E98" i="37"/>
  <c r="F117" i="37"/>
  <c r="X107" i="37"/>
  <c r="Y97" i="37"/>
  <c r="W117" i="37"/>
  <c r="AH97" i="37"/>
  <c r="U117" i="37"/>
  <c r="I109" i="32"/>
  <c r="H92" i="32"/>
  <c r="M92" i="32"/>
  <c r="AI91" i="32"/>
  <c r="AG92" i="32"/>
  <c r="AH92" i="32"/>
  <c r="AE92" i="32"/>
  <c r="AD92" i="32"/>
  <c r="AF92" i="32"/>
  <c r="R92" i="32"/>
  <c r="AB73" i="32"/>
  <c r="AB72" i="32"/>
  <c r="AB66" i="32"/>
  <c r="AF66" i="32"/>
  <c r="AI66" i="32" s="1"/>
  <c r="AB70" i="32"/>
  <c r="AB65" i="32"/>
  <c r="AE65" i="32"/>
  <c r="AB67" i="32"/>
  <c r="AE67" i="32"/>
  <c r="AB64" i="32"/>
  <c r="AE64" i="32"/>
  <c r="Y77" i="32"/>
  <c r="AF63" i="32"/>
  <c r="AE68" i="32"/>
  <c r="AB71" i="32"/>
  <c r="AE63" i="32"/>
  <c r="X77" i="32"/>
  <c r="AB63" i="32"/>
  <c r="AB69" i="32"/>
  <c r="AG69" i="32"/>
  <c r="AD69" i="32"/>
  <c r="AE69" i="32"/>
  <c r="AH69" i="32"/>
  <c r="R69" i="32"/>
  <c r="AF69" i="32"/>
  <c r="D43" i="32"/>
  <c r="AG42" i="32"/>
  <c r="R42" i="32"/>
  <c r="M42" i="32"/>
  <c r="H42" i="32"/>
  <c r="AD42" i="32"/>
  <c r="AH42" i="32"/>
  <c r="U152" i="39" l="1"/>
  <c r="G20" i="41" s="1"/>
  <c r="G16" i="41"/>
  <c r="I117" i="37"/>
  <c r="O118" i="37"/>
  <c r="W118" i="37" s="1"/>
  <c r="R131" i="38"/>
  <c r="AL107" i="39"/>
  <c r="AR107" i="39" s="1"/>
  <c r="AR78" i="39"/>
  <c r="AL110" i="39"/>
  <c r="U141" i="39" s="1"/>
  <c r="O142" i="39" s="1"/>
  <c r="Q142" i="39" s="1"/>
  <c r="AS81" i="39"/>
  <c r="AQ74" i="39"/>
  <c r="AS74" i="39"/>
  <c r="AQ78" i="39"/>
  <c r="AI121" i="39"/>
  <c r="AR80" i="39"/>
  <c r="AL101" i="39"/>
  <c r="AR101" i="39" s="1"/>
  <c r="AS85" i="39"/>
  <c r="AQ71" i="39"/>
  <c r="AL109" i="39"/>
  <c r="U140" i="39" s="1"/>
  <c r="O141" i="39" s="1"/>
  <c r="Q141" i="39" s="1"/>
  <c r="AL111" i="39"/>
  <c r="U142" i="39" s="1"/>
  <c r="O143" i="39" s="1"/>
  <c r="Q143" i="39" s="1"/>
  <c r="AK118" i="39"/>
  <c r="AQ118" i="39" s="1"/>
  <c r="AR77" i="39"/>
  <c r="S139" i="39" s="1"/>
  <c r="AL104" i="39"/>
  <c r="AR104" i="39" s="1"/>
  <c r="AS73" i="39"/>
  <c r="AE124" i="39"/>
  <c r="AQ88" i="39"/>
  <c r="AQ84" i="39"/>
  <c r="AN108" i="39"/>
  <c r="AS108" i="39" s="1"/>
  <c r="AQ83" i="39"/>
  <c r="AK109" i="39"/>
  <c r="AQ109" i="39" s="1"/>
  <c r="AS87" i="39"/>
  <c r="AK120" i="39"/>
  <c r="AQ120" i="39" s="1"/>
  <c r="AK110" i="39"/>
  <c r="AQ110" i="39" s="1"/>
  <c r="AN118" i="39"/>
  <c r="AS118" i="39" s="1"/>
  <c r="AN105" i="39"/>
  <c r="AS105" i="39" s="1"/>
  <c r="AK115" i="39"/>
  <c r="AQ115" i="39" s="1"/>
  <c r="AN114" i="39"/>
  <c r="AS114" i="39" s="1"/>
  <c r="AK113" i="39"/>
  <c r="AQ113" i="39" s="1"/>
  <c r="AN121" i="39"/>
  <c r="AK121" i="39"/>
  <c r="AN117" i="39"/>
  <c r="AS117" i="39" s="1"/>
  <c r="AN116" i="39"/>
  <c r="AS116" i="39" s="1"/>
  <c r="AN110" i="39"/>
  <c r="AS110" i="39" s="1"/>
  <c r="AK102" i="39"/>
  <c r="AQ102" i="39" s="1"/>
  <c r="AN111" i="39"/>
  <c r="AS111" i="39" s="1"/>
  <c r="AK108" i="39"/>
  <c r="AQ108" i="39" s="1"/>
  <c r="L139" i="39" s="1"/>
  <c r="AH124" i="39"/>
  <c r="Z124" i="39"/>
  <c r="AG101" i="39"/>
  <c r="AB101" i="39"/>
  <c r="AB124" i="39" s="1"/>
  <c r="AS76" i="39"/>
  <c r="M170" i="39" s="1"/>
  <c r="AL119" i="39"/>
  <c r="U150" i="39" s="1"/>
  <c r="AR121" i="39"/>
  <c r="AN104" i="39"/>
  <c r="AS104" i="39" s="1"/>
  <c r="AK116" i="39"/>
  <c r="AQ116" i="39" s="1"/>
  <c r="AN119" i="39"/>
  <c r="AS119" i="39" s="1"/>
  <c r="AK103" i="39"/>
  <c r="AQ103" i="39" s="1"/>
  <c r="AL106" i="39"/>
  <c r="AR106" i="39" s="1"/>
  <c r="T137" i="39" s="1"/>
  <c r="AL114" i="39"/>
  <c r="AL113" i="39"/>
  <c r="U144" i="39" s="1"/>
  <c r="O145" i="39" s="1"/>
  <c r="Q145" i="39" s="1"/>
  <c r="AL112" i="39"/>
  <c r="U143" i="39" s="1"/>
  <c r="O144" i="39" s="1"/>
  <c r="Q144" i="39" s="1"/>
  <c r="AL115" i="39"/>
  <c r="AF124" i="39"/>
  <c r="AK104" i="39"/>
  <c r="AQ104" i="39" s="1"/>
  <c r="AK111" i="39"/>
  <c r="AQ111" i="39" s="1"/>
  <c r="AK107" i="39"/>
  <c r="AQ107" i="39" s="1"/>
  <c r="AN109" i="39"/>
  <c r="AS109" i="39" s="1"/>
  <c r="AL120" i="39"/>
  <c r="U151" i="39" s="1"/>
  <c r="AL102" i="39"/>
  <c r="AR102" i="39" s="1"/>
  <c r="AL116" i="39"/>
  <c r="AL108" i="39"/>
  <c r="U139" i="39" s="1"/>
  <c r="O140" i="39" s="1"/>
  <c r="Q140" i="39" s="1"/>
  <c r="AL117" i="39"/>
  <c r="AK114" i="39"/>
  <c r="AQ114" i="39" s="1"/>
  <c r="AN102" i="39"/>
  <c r="AS102" i="39" s="1"/>
  <c r="AN103" i="39"/>
  <c r="AS103" i="39" s="1"/>
  <c r="AK119" i="39"/>
  <c r="AQ119" i="39" s="1"/>
  <c r="AR86" i="39"/>
  <c r="AK117" i="39"/>
  <c r="AQ117" i="39" s="1"/>
  <c r="AL105" i="39"/>
  <c r="AR105" i="39" s="1"/>
  <c r="AN112" i="39"/>
  <c r="AS112" i="39" s="1"/>
  <c r="AK105" i="39"/>
  <c r="AQ105" i="39" s="1"/>
  <c r="AN106" i="39"/>
  <c r="AS106" i="39" s="1"/>
  <c r="AN113" i="39"/>
  <c r="AS113" i="39" s="1"/>
  <c r="AN107" i="39"/>
  <c r="AS107" i="39" s="1"/>
  <c r="AL118" i="39"/>
  <c r="U149" i="39" s="1"/>
  <c r="O150" i="39" s="1"/>
  <c r="Q150" i="39" s="1"/>
  <c r="AK112" i="39"/>
  <c r="AQ112" i="39" s="1"/>
  <c r="AL103" i="39"/>
  <c r="AR103" i="39" s="1"/>
  <c r="AN115" i="39"/>
  <c r="AS115" i="39" s="1"/>
  <c r="AN101" i="39"/>
  <c r="AS101" i="39" s="1"/>
  <c r="AN120" i="39"/>
  <c r="AS120" i="39" s="1"/>
  <c r="AK106" i="39"/>
  <c r="AQ106" i="39" s="1"/>
  <c r="L137" i="39" s="1"/>
  <c r="AS78" i="39"/>
  <c r="AS70" i="39"/>
  <c r="AQ81" i="39"/>
  <c r="AS83" i="39"/>
  <c r="AQ79" i="39"/>
  <c r="AQ82" i="39"/>
  <c r="AS84" i="39"/>
  <c r="AQ85" i="39"/>
  <c r="AS71" i="39"/>
  <c r="AS82" i="39"/>
  <c r="AS77" i="39"/>
  <c r="AQ86" i="39"/>
  <c r="AQ72" i="39"/>
  <c r="AS88" i="39"/>
  <c r="AQ87" i="39"/>
  <c r="AQ80" i="39"/>
  <c r="AQ76" i="39"/>
  <c r="AS75" i="39"/>
  <c r="AS90" i="39"/>
  <c r="AB70" i="39"/>
  <c r="AB93" i="39" s="1"/>
  <c r="Z93" i="39"/>
  <c r="AG70" i="39"/>
  <c r="AS80" i="39"/>
  <c r="AS79" i="39"/>
  <c r="AR81" i="39"/>
  <c r="AS89" i="39"/>
  <c r="AR82" i="39"/>
  <c r="AQ89" i="39"/>
  <c r="AR79" i="39"/>
  <c r="AS86" i="39"/>
  <c r="AQ90" i="39"/>
  <c r="AR88" i="39"/>
  <c r="AR87" i="39"/>
  <c r="AQ77" i="39"/>
  <c r="K139" i="39" s="1"/>
  <c r="AQ73" i="39"/>
  <c r="AS72" i="39"/>
  <c r="AQ75" i="39"/>
  <c r="K137" i="39" s="1"/>
  <c r="AR84" i="39"/>
  <c r="AR83" i="39"/>
  <c r="AR85" i="39"/>
  <c r="AR89" i="39"/>
  <c r="U135" i="39"/>
  <c r="O136" i="39" s="1"/>
  <c r="Q136" i="39" s="1"/>
  <c r="AR73" i="39"/>
  <c r="L164" i="39"/>
  <c r="N164" i="39" s="1"/>
  <c r="AR70" i="39"/>
  <c r="P133" i="39"/>
  <c r="U137" i="39"/>
  <c r="AR75" i="39"/>
  <c r="S137" i="39" s="1"/>
  <c r="U136" i="39"/>
  <c r="AR74" i="39"/>
  <c r="U133" i="39"/>
  <c r="O134" i="39" s="1"/>
  <c r="Q134" i="39" s="1"/>
  <c r="AR71" i="39"/>
  <c r="U134" i="39"/>
  <c r="AR72" i="39"/>
  <c r="U138" i="39"/>
  <c r="AR76" i="39"/>
  <c r="R130" i="38"/>
  <c r="R132" i="38"/>
  <c r="Q133" i="38"/>
  <c r="R133" i="38" s="1"/>
  <c r="J149" i="38"/>
  <c r="E150" i="38" s="1"/>
  <c r="F150" i="38" s="1"/>
  <c r="V149" i="38"/>
  <c r="G117" i="37"/>
  <c r="H117" i="37"/>
  <c r="H98" i="37"/>
  <c r="M98" i="37" s="1"/>
  <c r="AH107" i="37"/>
  <c r="AI97" i="37"/>
  <c r="Z97" i="37" s="1"/>
  <c r="I123" i="32"/>
  <c r="H93" i="32"/>
  <c r="M93" i="32"/>
  <c r="AI68" i="32"/>
  <c r="AI67" i="32"/>
  <c r="AG93" i="32"/>
  <c r="AE93" i="32"/>
  <c r="AD93" i="32"/>
  <c r="AH93" i="32"/>
  <c r="R93" i="32"/>
  <c r="AF93" i="32"/>
  <c r="AI92" i="32"/>
  <c r="AI64" i="32"/>
  <c r="AI65" i="32"/>
  <c r="AI69" i="32"/>
  <c r="AI63" i="32"/>
  <c r="AH70" i="32"/>
  <c r="AG70" i="32"/>
  <c r="AE70" i="32"/>
  <c r="AD70" i="32"/>
  <c r="AF70" i="32"/>
  <c r="R70" i="32"/>
  <c r="AH43" i="32"/>
  <c r="AD43" i="32"/>
  <c r="H43" i="32"/>
  <c r="D44" i="32"/>
  <c r="AG43" i="32"/>
  <c r="R43" i="32"/>
  <c r="M43" i="32"/>
  <c r="AA97" i="37" l="1"/>
  <c r="AK97" i="37" s="1"/>
  <c r="G150" i="38"/>
  <c r="AQ121" i="39"/>
  <c r="G15" i="41"/>
  <c r="AS121" i="39"/>
  <c r="G17" i="41"/>
  <c r="M186" i="39"/>
  <c r="P118" i="37"/>
  <c r="L119" i="37" s="1"/>
  <c r="N119" i="37" s="1"/>
  <c r="O119" i="37" s="1"/>
  <c r="W119" i="37" s="1"/>
  <c r="AR110" i="39"/>
  <c r="S155" i="39"/>
  <c r="K155" i="39"/>
  <c r="R143" i="39"/>
  <c r="AR112" i="39"/>
  <c r="R140" i="39"/>
  <c r="R142" i="39"/>
  <c r="R141" i="39"/>
  <c r="AR109" i="39"/>
  <c r="O151" i="39"/>
  <c r="Q151" i="39" s="1"/>
  <c r="R150" i="39"/>
  <c r="O152" i="39"/>
  <c r="AR114" i="39"/>
  <c r="U145" i="39"/>
  <c r="AR117" i="39"/>
  <c r="U148" i="39"/>
  <c r="O149" i="39" s="1"/>
  <c r="Q149" i="39" s="1"/>
  <c r="R149" i="39" s="1"/>
  <c r="R144" i="39"/>
  <c r="AR116" i="39"/>
  <c r="U147" i="39"/>
  <c r="O148" i="39" s="1"/>
  <c r="Q148" i="39" s="1"/>
  <c r="AR115" i="39"/>
  <c r="U146" i="39"/>
  <c r="AR111" i="39"/>
  <c r="AR113" i="39"/>
  <c r="L155" i="39"/>
  <c r="AR120" i="39"/>
  <c r="AR108" i="39"/>
  <c r="T139" i="39" s="1"/>
  <c r="T155" i="39" s="1"/>
  <c r="AR118" i="39"/>
  <c r="AR119" i="39"/>
  <c r="AK101" i="39"/>
  <c r="AI101" i="39"/>
  <c r="AI124" i="39" s="1"/>
  <c r="AG124" i="39"/>
  <c r="O164" i="39"/>
  <c r="AG93" i="39"/>
  <c r="AI70" i="39"/>
  <c r="AI93" i="39" s="1"/>
  <c r="AK70" i="39"/>
  <c r="O138" i="39"/>
  <c r="Q138" i="39" s="1"/>
  <c r="O135" i="39"/>
  <c r="Q135" i="39" s="1"/>
  <c r="R135" i="39" s="1"/>
  <c r="R134" i="39"/>
  <c r="Q133" i="39"/>
  <c r="R133" i="39" s="1"/>
  <c r="P155" i="39"/>
  <c r="Z62" i="39"/>
  <c r="AG39" i="39"/>
  <c r="E164" i="39"/>
  <c r="AB39" i="39"/>
  <c r="AB62" i="39" s="1"/>
  <c r="G133" i="39"/>
  <c r="G155" i="39" s="1"/>
  <c r="O137" i="39"/>
  <c r="Q137" i="39" s="1"/>
  <c r="R136" i="39"/>
  <c r="O139" i="39"/>
  <c r="Q139" i="38"/>
  <c r="R139" i="38"/>
  <c r="I150" i="38"/>
  <c r="H150" i="38"/>
  <c r="N151" i="38"/>
  <c r="V117" i="37"/>
  <c r="J117" i="37"/>
  <c r="E118" i="37" s="1"/>
  <c r="E99" i="37"/>
  <c r="H94" i="32"/>
  <c r="M94" i="32"/>
  <c r="AH94" i="32"/>
  <c r="AG94" i="32"/>
  <c r="AD94" i="32"/>
  <c r="AF94" i="32"/>
  <c r="AE94" i="32"/>
  <c r="R94" i="32"/>
  <c r="AI93" i="32"/>
  <c r="AI70" i="32"/>
  <c r="AH71" i="32"/>
  <c r="AG71" i="32"/>
  <c r="AE71" i="32"/>
  <c r="AD71" i="32"/>
  <c r="R71" i="32"/>
  <c r="AF71" i="32"/>
  <c r="D45" i="32"/>
  <c r="AG44" i="32"/>
  <c r="AD44" i="32"/>
  <c r="AH44" i="32"/>
  <c r="R44" i="32"/>
  <c r="H44" i="32"/>
  <c r="M44" i="32"/>
  <c r="AB97" i="37" l="1"/>
  <c r="AL97" i="37" s="1"/>
  <c r="AM97" i="37"/>
  <c r="AC97" i="37" s="1"/>
  <c r="P119" i="37"/>
  <c r="L120" i="37" s="1"/>
  <c r="N120" i="37" s="1"/>
  <c r="R151" i="39"/>
  <c r="R148" i="39"/>
  <c r="Q152" i="39"/>
  <c r="R152" i="39" s="1"/>
  <c r="O146" i="39"/>
  <c r="Q146" i="39" s="1"/>
  <c r="R145" i="39"/>
  <c r="O147" i="39"/>
  <c r="Q147" i="39" s="1"/>
  <c r="R147" i="39" s="1"/>
  <c r="AQ101" i="39"/>
  <c r="P164" i="39"/>
  <c r="L165" i="39" s="1"/>
  <c r="N165" i="39" s="1"/>
  <c r="W164" i="39"/>
  <c r="R138" i="39"/>
  <c r="R137" i="39"/>
  <c r="F164" i="39"/>
  <c r="G164" i="39" s="1"/>
  <c r="AG62" i="39"/>
  <c r="AK39" i="39"/>
  <c r="AI39" i="39"/>
  <c r="AI62" i="39" s="1"/>
  <c r="Q139" i="39"/>
  <c r="R139" i="39" s="1"/>
  <c r="J150" i="38"/>
  <c r="E151" i="38" s="1"/>
  <c r="F151" i="38" s="1"/>
  <c r="V150" i="38"/>
  <c r="F118" i="37"/>
  <c r="Y117" i="37"/>
  <c r="H99" i="37"/>
  <c r="H95" i="32"/>
  <c r="M95" i="32"/>
  <c r="AH95" i="32"/>
  <c r="AG95" i="32"/>
  <c r="AD95" i="32"/>
  <c r="AE95" i="32"/>
  <c r="AF95" i="32"/>
  <c r="R95" i="32"/>
  <c r="AI94" i="32"/>
  <c r="AI71" i="32"/>
  <c r="AH72" i="32"/>
  <c r="AG72" i="32"/>
  <c r="AD72" i="32"/>
  <c r="AE72" i="32"/>
  <c r="AF72" i="32"/>
  <c r="R72" i="32"/>
  <c r="D46" i="32"/>
  <c r="AG45" i="32"/>
  <c r="AD45" i="32"/>
  <c r="H45" i="32"/>
  <c r="R45" i="32"/>
  <c r="M45" i="32"/>
  <c r="AH45" i="32"/>
  <c r="AD97" i="37" l="1"/>
  <c r="AE97" i="37" s="1"/>
  <c r="W98" i="37" s="1"/>
  <c r="AN97" i="37"/>
  <c r="AO97" i="37" s="1"/>
  <c r="AG98" i="37" s="1"/>
  <c r="O120" i="37"/>
  <c r="O165" i="39"/>
  <c r="W165" i="39" s="1"/>
  <c r="R146" i="39"/>
  <c r="Q155" i="39"/>
  <c r="I164" i="39"/>
  <c r="AQ70" i="39"/>
  <c r="F133" i="39"/>
  <c r="H164" i="39"/>
  <c r="T186" i="39"/>
  <c r="U164" i="39"/>
  <c r="G151" i="38"/>
  <c r="H151" i="38"/>
  <c r="I151" i="38"/>
  <c r="N152" i="38"/>
  <c r="R118" i="37"/>
  <c r="Z117" i="37"/>
  <c r="G118" i="37"/>
  <c r="H118" i="37"/>
  <c r="I118" i="37"/>
  <c r="M99" i="37"/>
  <c r="H96" i="32"/>
  <c r="M96" i="32"/>
  <c r="AI95" i="32"/>
  <c r="AH96" i="32"/>
  <c r="AG96" i="32"/>
  <c r="AF96" i="32"/>
  <c r="AD96" i="32"/>
  <c r="AE96" i="32"/>
  <c r="R96" i="32"/>
  <c r="AI72" i="32"/>
  <c r="AH73" i="32"/>
  <c r="AG73" i="32"/>
  <c r="AF73" i="32"/>
  <c r="AE73" i="32"/>
  <c r="AD73" i="32"/>
  <c r="R73" i="32"/>
  <c r="AH46" i="32"/>
  <c r="D47" i="32"/>
  <c r="AG46" i="32"/>
  <c r="AD46" i="32"/>
  <c r="H46" i="32"/>
  <c r="M46" i="32"/>
  <c r="R46" i="32"/>
  <c r="Y98" i="37" l="1"/>
  <c r="AI98" i="37"/>
  <c r="AB116" i="37"/>
  <c r="AD116" i="37" s="1"/>
  <c r="AE116" i="37" s="1"/>
  <c r="P120" i="37"/>
  <c r="L121" i="37" s="1"/>
  <c r="N121" i="37" s="1"/>
  <c r="W120" i="37"/>
  <c r="P165" i="39"/>
  <c r="L166" i="39" s="1"/>
  <c r="N166" i="39" s="1"/>
  <c r="R155" i="39"/>
  <c r="V164" i="39"/>
  <c r="J164" i="39"/>
  <c r="E165" i="39" s="1"/>
  <c r="F165" i="39" s="1"/>
  <c r="H133" i="39"/>
  <c r="M133" i="39" s="1"/>
  <c r="X133" i="39"/>
  <c r="F155" i="39"/>
  <c r="J151" i="38"/>
  <c r="E152" i="38" s="1"/>
  <c r="F152" i="38" s="1"/>
  <c r="V151" i="38"/>
  <c r="J118" i="37"/>
  <c r="E119" i="37" s="1"/>
  <c r="F119" i="37" s="1"/>
  <c r="V118" i="37"/>
  <c r="U118" i="37"/>
  <c r="E100" i="37"/>
  <c r="AL97" i="32"/>
  <c r="H97" i="32"/>
  <c r="M97" i="32"/>
  <c r="M100" i="32" s="1"/>
  <c r="AH97" i="32"/>
  <c r="AG97" i="32"/>
  <c r="AF97" i="32"/>
  <c r="AD97" i="32"/>
  <c r="AE97" i="32"/>
  <c r="R97" i="32"/>
  <c r="R100" i="32" s="1"/>
  <c r="AI96" i="32"/>
  <c r="AI73" i="32"/>
  <c r="AH74" i="32"/>
  <c r="AG74" i="32"/>
  <c r="AE74" i="32"/>
  <c r="AF74" i="32"/>
  <c r="AD74" i="32"/>
  <c r="R74" i="32"/>
  <c r="R77" i="32" s="1"/>
  <c r="D48" i="32"/>
  <c r="AG47" i="32"/>
  <c r="AD47" i="32"/>
  <c r="H47" i="32"/>
  <c r="AH47" i="32"/>
  <c r="R47" i="32"/>
  <c r="M47" i="32"/>
  <c r="Z98" i="37" l="1"/>
  <c r="AA98" i="37"/>
  <c r="AK98" i="37" s="1"/>
  <c r="I165" i="39"/>
  <c r="AR97" i="32"/>
  <c r="E16" i="41"/>
  <c r="I119" i="37"/>
  <c r="O121" i="37"/>
  <c r="P121" i="37" s="1"/>
  <c r="O166" i="39"/>
  <c r="U120" i="32"/>
  <c r="E20" i="41" s="1"/>
  <c r="AN67" i="32"/>
  <c r="AN94" i="32"/>
  <c r="Y164" i="39"/>
  <c r="R165" i="39" s="1"/>
  <c r="U165" i="39" s="1"/>
  <c r="G165" i="39"/>
  <c r="H165" i="39"/>
  <c r="AH133" i="39"/>
  <c r="Y133" i="39"/>
  <c r="X155" i="39"/>
  <c r="E134" i="39"/>
  <c r="I152" i="38"/>
  <c r="G152" i="38"/>
  <c r="H152" i="38"/>
  <c r="N153" i="38"/>
  <c r="Y118" i="37"/>
  <c r="Z118" i="37" s="1"/>
  <c r="H119" i="37"/>
  <c r="G119" i="37"/>
  <c r="H100" i="37"/>
  <c r="M100" i="37" s="1"/>
  <c r="AN95" i="32"/>
  <c r="AN93" i="32"/>
  <c r="AN97" i="32"/>
  <c r="E17" i="41" s="1"/>
  <c r="AN87" i="32"/>
  <c r="AN86" i="32"/>
  <c r="AN88" i="32"/>
  <c r="AN91" i="32"/>
  <c r="AN89" i="32"/>
  <c r="AN90" i="32"/>
  <c r="AN92" i="32"/>
  <c r="AN96" i="32"/>
  <c r="AH100" i="32"/>
  <c r="AN85" i="32"/>
  <c r="AN72" i="32"/>
  <c r="AN74" i="32"/>
  <c r="E13" i="41" s="1"/>
  <c r="AN63" i="32"/>
  <c r="AN65" i="32"/>
  <c r="AN64" i="32"/>
  <c r="AN66" i="32"/>
  <c r="AN68" i="32"/>
  <c r="AN71" i="32"/>
  <c r="AN69" i="32"/>
  <c r="AN70" i="32"/>
  <c r="AN73" i="32"/>
  <c r="AH77" i="32"/>
  <c r="AN62" i="32"/>
  <c r="AL73" i="32"/>
  <c r="AL94" i="32"/>
  <c r="U117" i="32" s="1"/>
  <c r="AL62" i="32"/>
  <c r="AL92" i="32"/>
  <c r="U115" i="32" s="1"/>
  <c r="AL71" i="32"/>
  <c r="AL93" i="32"/>
  <c r="U116" i="32" s="1"/>
  <c r="AL69" i="32"/>
  <c r="AL70" i="32"/>
  <c r="AL72" i="32"/>
  <c r="AL86" i="32"/>
  <c r="AL87" i="32"/>
  <c r="AL85" i="32"/>
  <c r="AL88" i="32"/>
  <c r="AL89" i="32"/>
  <c r="AL90" i="32"/>
  <c r="AL91" i="32"/>
  <c r="AL96" i="32"/>
  <c r="U119" i="32" s="1"/>
  <c r="AL66" i="32"/>
  <c r="AL68" i="32"/>
  <c r="AL67" i="32"/>
  <c r="AL65" i="32"/>
  <c r="AL63" i="32"/>
  <c r="AL64" i="32"/>
  <c r="AL95" i="32"/>
  <c r="U118" i="32" s="1"/>
  <c r="AK92" i="32"/>
  <c r="AK69" i="32"/>
  <c r="AK97" i="32"/>
  <c r="E15" i="41" s="1"/>
  <c r="AK91" i="32"/>
  <c r="AK93" i="32"/>
  <c r="AK94" i="32"/>
  <c r="AK63" i="32"/>
  <c r="AK74" i="32"/>
  <c r="E11" i="41" s="1"/>
  <c r="AK67" i="32"/>
  <c r="AK66" i="32"/>
  <c r="AK65" i="32"/>
  <c r="AK64" i="32"/>
  <c r="AK95" i="32"/>
  <c r="AK68" i="32"/>
  <c r="AK71" i="32"/>
  <c r="AK72" i="32"/>
  <c r="AK73" i="32"/>
  <c r="AK96" i="32"/>
  <c r="AK70" i="32"/>
  <c r="AK87" i="32"/>
  <c r="AK86" i="32"/>
  <c r="AK89" i="32"/>
  <c r="AK88" i="32"/>
  <c r="AK90" i="32"/>
  <c r="AE100" i="32"/>
  <c r="AI97" i="32"/>
  <c r="AD100" i="32"/>
  <c r="AF100" i="32"/>
  <c r="AE77" i="32"/>
  <c r="AF77" i="32"/>
  <c r="AI74" i="32"/>
  <c r="AD77" i="32"/>
  <c r="D49" i="32"/>
  <c r="AG48" i="32"/>
  <c r="H48" i="32"/>
  <c r="AD48" i="32"/>
  <c r="AH48" i="32"/>
  <c r="M48" i="32"/>
  <c r="R48" i="32"/>
  <c r="AM98" i="37" l="1"/>
  <c r="AC98" i="37" s="1"/>
  <c r="AB98" i="37"/>
  <c r="AL98" i="37" s="1"/>
  <c r="W121" i="37"/>
  <c r="W166" i="39"/>
  <c r="P166" i="39"/>
  <c r="L167" i="39" s="1"/>
  <c r="N167" i="39" s="1"/>
  <c r="L122" i="37"/>
  <c r="N122" i="37" s="1"/>
  <c r="O122" i="37" s="1"/>
  <c r="Z164" i="39"/>
  <c r="J165" i="39"/>
  <c r="E166" i="39" s="1"/>
  <c r="F166" i="39" s="1"/>
  <c r="V165" i="39"/>
  <c r="H134" i="39"/>
  <c r="M134" i="39" s="1"/>
  <c r="AI133" i="39"/>
  <c r="AA133" i="39" s="1"/>
  <c r="AK133" i="39" s="1"/>
  <c r="AH155" i="39"/>
  <c r="V152" i="38"/>
  <c r="J152" i="38"/>
  <c r="E153" i="38" s="1"/>
  <c r="F153" i="38" s="1"/>
  <c r="G153" i="38" s="1"/>
  <c r="R119" i="37"/>
  <c r="U119" i="37" s="1"/>
  <c r="J119" i="37"/>
  <c r="E120" i="37" s="1"/>
  <c r="V119" i="37"/>
  <c r="E101" i="37"/>
  <c r="AS92" i="32"/>
  <c r="AS95" i="32"/>
  <c r="AS93" i="32"/>
  <c r="AS90" i="32"/>
  <c r="AS91" i="32"/>
  <c r="AS88" i="32"/>
  <c r="AS86" i="32"/>
  <c r="AS89" i="32"/>
  <c r="AS96" i="32"/>
  <c r="AS85" i="32"/>
  <c r="AS94" i="32"/>
  <c r="AS87" i="32"/>
  <c r="AS97" i="32"/>
  <c r="AQ92" i="32"/>
  <c r="L115" i="32" s="1"/>
  <c r="O116" i="32"/>
  <c r="Q116" i="32" s="1"/>
  <c r="O119" i="32"/>
  <c r="Q119" i="32" s="1"/>
  <c r="AQ97" i="32"/>
  <c r="O118" i="32"/>
  <c r="Q118" i="32" s="1"/>
  <c r="O117" i="32"/>
  <c r="Q117" i="32" s="1"/>
  <c r="O120" i="32"/>
  <c r="AR87" i="32"/>
  <c r="AR88" i="32"/>
  <c r="AQ86" i="32"/>
  <c r="AQ90" i="32"/>
  <c r="L113" i="32" s="1"/>
  <c r="AQ87" i="32"/>
  <c r="L110" i="32" s="1"/>
  <c r="AQ89" i="32"/>
  <c r="AR89" i="32"/>
  <c r="AQ94" i="32"/>
  <c r="AQ93" i="32"/>
  <c r="AR85" i="32"/>
  <c r="AQ88" i="32"/>
  <c r="AR91" i="32"/>
  <c r="AR90" i="32"/>
  <c r="T113" i="32" s="1"/>
  <c r="AR94" i="32"/>
  <c r="AR93" i="32"/>
  <c r="AR86" i="32"/>
  <c r="AR92" i="32"/>
  <c r="T115" i="32" s="1"/>
  <c r="AQ91" i="32"/>
  <c r="AD49" i="32"/>
  <c r="H49" i="32"/>
  <c r="D50" i="32"/>
  <c r="AG49" i="32"/>
  <c r="R49" i="32"/>
  <c r="M49" i="32"/>
  <c r="AH49" i="32"/>
  <c r="Z133" i="39" l="1"/>
  <c r="AB133" i="39" s="1"/>
  <c r="AL133" i="39" s="1"/>
  <c r="AM133" i="39"/>
  <c r="AN98" i="37"/>
  <c r="AO98" i="37" s="1"/>
  <c r="AG99" i="37" s="1"/>
  <c r="AI99" i="37" s="1"/>
  <c r="AD98" i="37"/>
  <c r="AE98" i="37" s="1"/>
  <c r="I166" i="39"/>
  <c r="O167" i="39"/>
  <c r="G166" i="39"/>
  <c r="H166" i="39"/>
  <c r="Y165" i="39"/>
  <c r="R166" i="39" s="1"/>
  <c r="U166" i="39" s="1"/>
  <c r="E135" i="39"/>
  <c r="H135" i="39" s="1"/>
  <c r="M135" i="39" s="1"/>
  <c r="H153" i="38"/>
  <c r="I153" i="38"/>
  <c r="Y119" i="37"/>
  <c r="F120" i="37"/>
  <c r="H120" i="37" s="1"/>
  <c r="W122" i="37"/>
  <c r="P122" i="37"/>
  <c r="L123" i="37" s="1"/>
  <c r="H101" i="37"/>
  <c r="M101" i="37" s="1"/>
  <c r="T123" i="32"/>
  <c r="L123" i="32"/>
  <c r="R117" i="32"/>
  <c r="R118" i="32"/>
  <c r="Q120" i="32"/>
  <c r="R120" i="32" s="1"/>
  <c r="R119" i="32"/>
  <c r="R116" i="32"/>
  <c r="AR95" i="32"/>
  <c r="AQ95" i="32"/>
  <c r="AH50" i="32"/>
  <c r="D51" i="32"/>
  <c r="AG50" i="32"/>
  <c r="R50" i="32"/>
  <c r="H50" i="32"/>
  <c r="AD50" i="32"/>
  <c r="M50" i="32"/>
  <c r="AN133" i="39" l="1"/>
  <c r="AC133" i="39"/>
  <c r="AD133" i="39" s="1"/>
  <c r="AE133" i="39" s="1"/>
  <c r="AB117" i="37"/>
  <c r="AD117" i="37" s="1"/>
  <c r="AE117" i="37" s="1"/>
  <c r="W99" i="37"/>
  <c r="W167" i="39"/>
  <c r="P167" i="39"/>
  <c r="L168" i="39" s="1"/>
  <c r="N168" i="39" s="1"/>
  <c r="O168" i="39" s="1"/>
  <c r="P168" i="39" s="1"/>
  <c r="L169" i="39" s="1"/>
  <c r="V166" i="39"/>
  <c r="J166" i="39"/>
  <c r="E167" i="39" s="1"/>
  <c r="F167" i="39" s="1"/>
  <c r="Z165" i="39"/>
  <c r="E136" i="39"/>
  <c r="H136" i="39" s="1"/>
  <c r="M136" i="39" s="1"/>
  <c r="V153" i="38"/>
  <c r="J153" i="38"/>
  <c r="E154" i="38" s="1"/>
  <c r="F154" i="38" s="1"/>
  <c r="I154" i="38" s="1"/>
  <c r="N155" i="38"/>
  <c r="R120" i="37"/>
  <c r="U120" i="37" s="1"/>
  <c r="Z119" i="37"/>
  <c r="G120" i="37"/>
  <c r="I120" i="37"/>
  <c r="E102" i="37"/>
  <c r="N123" i="37"/>
  <c r="AQ96" i="32"/>
  <c r="AR96" i="32"/>
  <c r="AD51" i="32"/>
  <c r="H51" i="32"/>
  <c r="AG51" i="32"/>
  <c r="AH51" i="32"/>
  <c r="M51" i="32"/>
  <c r="R51" i="32"/>
  <c r="AO133" i="39" l="1"/>
  <c r="AG134" i="39" s="1"/>
  <c r="AI134" i="39" s="1"/>
  <c r="W134" i="39"/>
  <c r="AB164" i="39"/>
  <c r="AD164" i="39" s="1"/>
  <c r="AE164" i="39" s="1"/>
  <c r="Y99" i="37"/>
  <c r="Z99" i="37" s="1"/>
  <c r="G167" i="39"/>
  <c r="W168" i="39"/>
  <c r="O123" i="37"/>
  <c r="O126" i="37" s="1"/>
  <c r="N126" i="37"/>
  <c r="AN48" i="32"/>
  <c r="AS71" i="32" s="1"/>
  <c r="Y166" i="39"/>
  <c r="R167" i="39" s="1"/>
  <c r="U167" i="39" s="1"/>
  <c r="I167" i="39"/>
  <c r="H167" i="39"/>
  <c r="E137" i="39"/>
  <c r="H137" i="39" s="1"/>
  <c r="M137" i="39" s="1"/>
  <c r="N169" i="39"/>
  <c r="O169" i="39" s="1"/>
  <c r="G154" i="38"/>
  <c r="H154" i="38"/>
  <c r="V120" i="37"/>
  <c r="J120" i="37"/>
  <c r="E121" i="37" s="1"/>
  <c r="H102" i="37"/>
  <c r="M102" i="37" s="1"/>
  <c r="AN45" i="32"/>
  <c r="AS68" i="32" s="1"/>
  <c r="M138" i="32" s="1"/>
  <c r="AN51" i="32"/>
  <c r="AN40" i="32"/>
  <c r="AS63" i="32" s="1"/>
  <c r="AN41" i="32"/>
  <c r="AS64" i="32" s="1"/>
  <c r="AN42" i="32"/>
  <c r="AS65" i="32" s="1"/>
  <c r="AN44" i="32"/>
  <c r="AS67" i="32" s="1"/>
  <c r="AN43" i="32"/>
  <c r="AS66" i="32" s="1"/>
  <c r="AN46" i="32"/>
  <c r="AS69" i="32" s="1"/>
  <c r="AN47" i="32"/>
  <c r="AS70" i="32" s="1"/>
  <c r="AN50" i="32"/>
  <c r="AS73" i="32" s="1"/>
  <c r="AN49" i="32"/>
  <c r="AS72" i="32" s="1"/>
  <c r="AN39" i="32"/>
  <c r="AS62" i="32" s="1"/>
  <c r="AK51" i="32"/>
  <c r="Y134" i="39" l="1"/>
  <c r="Z134" i="39" s="1"/>
  <c r="AA99" i="37"/>
  <c r="AK99" i="37" s="1"/>
  <c r="AM99" i="37" s="1"/>
  <c r="AC99" i="37" s="1"/>
  <c r="AS74" i="32"/>
  <c r="E9" i="41"/>
  <c r="M146" i="32"/>
  <c r="W123" i="37"/>
  <c r="P123" i="37"/>
  <c r="D24" i="41" s="1"/>
  <c r="AQ74" i="32"/>
  <c r="E7" i="41"/>
  <c r="V167" i="39"/>
  <c r="Z166" i="39"/>
  <c r="J167" i="39"/>
  <c r="E168" i="39" s="1"/>
  <c r="F168" i="39" s="1"/>
  <c r="W169" i="39"/>
  <c r="P169" i="39"/>
  <c r="L170" i="39" s="1"/>
  <c r="E138" i="39"/>
  <c r="N156" i="38"/>
  <c r="V154" i="38"/>
  <c r="J154" i="38"/>
  <c r="E155" i="38" s="1"/>
  <c r="Y120" i="37"/>
  <c r="R121" i="37" s="1"/>
  <c r="U121" i="37" s="1"/>
  <c r="F121" i="37"/>
  <c r="H121" i="37" s="1"/>
  <c r="E103" i="37"/>
  <c r="AA134" i="39" l="1"/>
  <c r="AK134" i="39" s="1"/>
  <c r="AB99" i="37"/>
  <c r="H168" i="39"/>
  <c r="Y167" i="39"/>
  <c r="R168" i="39" s="1"/>
  <c r="U168" i="39" s="1"/>
  <c r="I168" i="39"/>
  <c r="G168" i="39"/>
  <c r="N170" i="39"/>
  <c r="O170" i="39" s="1"/>
  <c r="H138" i="39"/>
  <c r="M138" i="39" s="1"/>
  <c r="F155" i="38"/>
  <c r="H155" i="38" s="1"/>
  <c r="Z120" i="37"/>
  <c r="I121" i="37"/>
  <c r="G121" i="37"/>
  <c r="H103" i="37"/>
  <c r="M103" i="37" s="1"/>
  <c r="AM134" i="39" l="1"/>
  <c r="AC134" i="39" s="1"/>
  <c r="AB134" i="39"/>
  <c r="AL99" i="37"/>
  <c r="AN99" i="37" s="1"/>
  <c r="AO99" i="37" s="1"/>
  <c r="AG100" i="37" s="1"/>
  <c r="AI100" i="37" s="1"/>
  <c r="AD99" i="37"/>
  <c r="AE99" i="37" s="1"/>
  <c r="Z167" i="39"/>
  <c r="J168" i="39"/>
  <c r="E169" i="39" s="1"/>
  <c r="V168" i="39"/>
  <c r="W170" i="39"/>
  <c r="P170" i="39"/>
  <c r="L171" i="39" s="1"/>
  <c r="N171" i="39" s="1"/>
  <c r="O171" i="39" s="1"/>
  <c r="E139" i="39"/>
  <c r="N157" i="38"/>
  <c r="I155" i="38"/>
  <c r="G155" i="38"/>
  <c r="V121" i="37"/>
  <c r="J121" i="37"/>
  <c r="E122" i="37" s="1"/>
  <c r="E104" i="37"/>
  <c r="AD134" i="39" l="1"/>
  <c r="AE134" i="39" s="1"/>
  <c r="W135" i="39" s="1"/>
  <c r="AL134" i="39"/>
  <c r="W100" i="37"/>
  <c r="AB118" i="37"/>
  <c r="AD118" i="37" s="1"/>
  <c r="AE118" i="37" s="1"/>
  <c r="Y168" i="39"/>
  <c r="F169" i="39"/>
  <c r="P171" i="39"/>
  <c r="L172" i="39" s="1"/>
  <c r="W171" i="39"/>
  <c r="H139" i="39"/>
  <c r="M139" i="39" s="1"/>
  <c r="V155" i="38"/>
  <c r="J155" i="38"/>
  <c r="E156" i="38" s="1"/>
  <c r="U155" i="38"/>
  <c r="F122" i="37"/>
  <c r="G122" i="37" s="1"/>
  <c r="Y121" i="37"/>
  <c r="H104" i="37"/>
  <c r="M104" i="37" s="1"/>
  <c r="D19" i="41" s="1"/>
  <c r="Y135" i="39" l="1"/>
  <c r="AB165" i="39"/>
  <c r="AD165" i="39" s="1"/>
  <c r="AE165" i="39" s="1"/>
  <c r="AN134" i="39"/>
  <c r="Y100" i="37"/>
  <c r="Z100" i="37" s="1"/>
  <c r="AJ100" i="37" s="1"/>
  <c r="H169" i="39"/>
  <c r="I169" i="39"/>
  <c r="G169" i="39"/>
  <c r="Z168" i="39"/>
  <c r="R169" i="39"/>
  <c r="U169" i="39" s="1"/>
  <c r="N172" i="39"/>
  <c r="O172" i="39" s="1"/>
  <c r="E140" i="39"/>
  <c r="F156" i="38"/>
  <c r="G156" i="38" s="1"/>
  <c r="I122" i="37"/>
  <c r="H122" i="37"/>
  <c r="R122" i="37"/>
  <c r="Z121" i="37"/>
  <c r="AO134" i="39" l="1"/>
  <c r="AG135" i="39" s="1"/>
  <c r="AI135" i="39" s="1"/>
  <c r="AA135" i="39" s="1"/>
  <c r="AK135" i="39" s="1"/>
  <c r="AA100" i="37"/>
  <c r="AK100" i="37" s="1"/>
  <c r="I156" i="38"/>
  <c r="V169" i="39"/>
  <c r="J169" i="39"/>
  <c r="E170" i="39" s="1"/>
  <c r="P172" i="39"/>
  <c r="L173" i="39" s="1"/>
  <c r="W172" i="39"/>
  <c r="H140" i="39"/>
  <c r="M140" i="39" s="1"/>
  <c r="H156" i="38"/>
  <c r="U156" i="38"/>
  <c r="N159" i="38"/>
  <c r="V122" i="37"/>
  <c r="J122" i="37"/>
  <c r="E123" i="37" s="1"/>
  <c r="F123" i="37" s="1"/>
  <c r="U122" i="37"/>
  <c r="Z135" i="39" l="1"/>
  <c r="AB135" i="39" s="1"/>
  <c r="AM135" i="39"/>
  <c r="AB100" i="37"/>
  <c r="AL100" i="37" s="1"/>
  <c r="AM100" i="37"/>
  <c r="AC100" i="37" s="1"/>
  <c r="H123" i="37"/>
  <c r="H126" i="37" s="1"/>
  <c r="F126" i="37"/>
  <c r="J156" i="38"/>
  <c r="E157" i="38" s="1"/>
  <c r="F157" i="38" s="1"/>
  <c r="G157" i="38" s="1"/>
  <c r="F170" i="39"/>
  <c r="H170" i="39" s="1"/>
  <c r="Y169" i="39"/>
  <c r="N173" i="39"/>
  <c r="O173" i="39" s="1"/>
  <c r="E141" i="39"/>
  <c r="V156" i="38"/>
  <c r="Y122" i="37"/>
  <c r="Z122" i="37" s="1"/>
  <c r="G123" i="37"/>
  <c r="G126" i="37" s="1"/>
  <c r="I123" i="37"/>
  <c r="I126" i="37" s="1"/>
  <c r="M54" i="32"/>
  <c r="R54" i="32"/>
  <c r="AH54" i="32"/>
  <c r="AL135" i="39" l="1"/>
  <c r="AC135" i="39"/>
  <c r="AD100" i="37"/>
  <c r="AE100" i="37" s="1"/>
  <c r="W101" i="37" s="1"/>
  <c r="AN100" i="37"/>
  <c r="AO100" i="37" s="1"/>
  <c r="AG101" i="37" s="1"/>
  <c r="AI101" i="37" s="1"/>
  <c r="R170" i="39"/>
  <c r="U170" i="39" s="1"/>
  <c r="Z169" i="39"/>
  <c r="G170" i="39"/>
  <c r="I170" i="39"/>
  <c r="P173" i="39"/>
  <c r="L174" i="39" s="1"/>
  <c r="W173" i="39"/>
  <c r="H141" i="39"/>
  <c r="M141" i="39" s="1"/>
  <c r="I157" i="38"/>
  <c r="H157" i="38"/>
  <c r="N160" i="38"/>
  <c r="R123" i="37"/>
  <c r="J123" i="37"/>
  <c r="D23" i="41" s="1"/>
  <c r="V123" i="37"/>
  <c r="AD54" i="32"/>
  <c r="L132" i="32" s="1"/>
  <c r="AN135" i="39" l="1"/>
  <c r="AD135" i="39"/>
  <c r="AE135" i="39" s="1"/>
  <c r="AB119" i="37"/>
  <c r="AD119" i="37" s="1"/>
  <c r="AE119" i="37" s="1"/>
  <c r="Y101" i="37"/>
  <c r="Z101" i="37" s="1"/>
  <c r="U123" i="37"/>
  <c r="Y123" i="37" s="1"/>
  <c r="D25" i="41" s="1"/>
  <c r="V157" i="38"/>
  <c r="V170" i="39"/>
  <c r="J170" i="39"/>
  <c r="E171" i="39" s="1"/>
  <c r="N174" i="39"/>
  <c r="O174" i="39" s="1"/>
  <c r="E142" i="39"/>
  <c r="J157" i="38"/>
  <c r="E158" i="38" s="1"/>
  <c r="W126" i="37"/>
  <c r="N132" i="32"/>
  <c r="Z100" i="32"/>
  <c r="AG85" i="32"/>
  <c r="AK85" i="32" s="1"/>
  <c r="AB85" i="32"/>
  <c r="AB100" i="32" s="1"/>
  <c r="AF50" i="32"/>
  <c r="AF49" i="32"/>
  <c r="AF48" i="32"/>
  <c r="AF51" i="32"/>
  <c r="AF47" i="32"/>
  <c r="AF44" i="32"/>
  <c r="AF46" i="32"/>
  <c r="AF43" i="32"/>
  <c r="AF42" i="32"/>
  <c r="AF45" i="32"/>
  <c r="AF41" i="32"/>
  <c r="AO135" i="39" l="1"/>
  <c r="AG136" i="39" s="1"/>
  <c r="AI136" i="39" s="1"/>
  <c r="W136" i="39"/>
  <c r="AB166" i="39"/>
  <c r="AD166" i="39" s="1"/>
  <c r="AE166" i="39" s="1"/>
  <c r="AA101" i="37"/>
  <c r="AK101" i="37" s="1"/>
  <c r="F171" i="39"/>
  <c r="I171" i="39" s="1"/>
  <c r="Y170" i="39"/>
  <c r="W174" i="39"/>
  <c r="P174" i="39"/>
  <c r="L175" i="39" s="1"/>
  <c r="H142" i="39"/>
  <c r="M142" i="39" s="1"/>
  <c r="F158" i="38"/>
  <c r="H158" i="38" s="1"/>
  <c r="Z123" i="37"/>
  <c r="D26" i="41" s="1"/>
  <c r="O132" i="32"/>
  <c r="E132" i="32"/>
  <c r="G109" i="32"/>
  <c r="G123" i="32" s="1"/>
  <c r="AI85" i="32"/>
  <c r="AI100" i="32" s="1"/>
  <c r="AG100" i="32"/>
  <c r="Z77" i="32"/>
  <c r="AG62" i="32"/>
  <c r="AK62" i="32" s="1"/>
  <c r="AQ85" i="32" s="1"/>
  <c r="AB62" i="32"/>
  <c r="AB77" i="32" s="1"/>
  <c r="AE44" i="32"/>
  <c r="AB44" i="32"/>
  <c r="AE49" i="32"/>
  <c r="AB49" i="32"/>
  <c r="AE46" i="32"/>
  <c r="AB46" i="32"/>
  <c r="Y54" i="32"/>
  <c r="AF40" i="32"/>
  <c r="AE47" i="32"/>
  <c r="AB47" i="32"/>
  <c r="AE42" i="32"/>
  <c r="AB42" i="32"/>
  <c r="AE43" i="32"/>
  <c r="AB43" i="32"/>
  <c r="X54" i="32"/>
  <c r="AE40" i="32"/>
  <c r="AB40" i="32"/>
  <c r="AE45" i="32"/>
  <c r="AB45" i="32"/>
  <c r="AE48" i="32"/>
  <c r="AB48" i="32"/>
  <c r="AE50" i="32"/>
  <c r="AB50" i="32"/>
  <c r="AE51" i="32"/>
  <c r="AK50" i="32" s="1"/>
  <c r="AQ73" i="32" s="1"/>
  <c r="AB51" i="32"/>
  <c r="Z54" i="32"/>
  <c r="AB39" i="32"/>
  <c r="AG39" i="32"/>
  <c r="AE41" i="32"/>
  <c r="AB41" i="32"/>
  <c r="Y136" i="39" l="1"/>
  <c r="Z136" i="39" s="1"/>
  <c r="AM101" i="37"/>
  <c r="AC101" i="37" s="1"/>
  <c r="AB101" i="37"/>
  <c r="AL101" i="37" s="1"/>
  <c r="G158" i="38"/>
  <c r="R171" i="39"/>
  <c r="Z170" i="39"/>
  <c r="G171" i="39"/>
  <c r="H171" i="39"/>
  <c r="N175" i="39"/>
  <c r="O175" i="39" s="1"/>
  <c r="E143" i="39"/>
  <c r="I158" i="38"/>
  <c r="N161" i="38"/>
  <c r="W132" i="32"/>
  <c r="AF54" i="32"/>
  <c r="F132" i="32"/>
  <c r="G132" i="32" s="1"/>
  <c r="P132" i="32"/>
  <c r="AK39" i="32"/>
  <c r="AI62" i="32"/>
  <c r="AI77" i="32" s="1"/>
  <c r="AG77" i="32"/>
  <c r="AK49" i="32"/>
  <c r="AQ72" i="32" s="1"/>
  <c r="AE54" i="32"/>
  <c r="AL39" i="32"/>
  <c r="AI40" i="32"/>
  <c r="AL40" i="32"/>
  <c r="AI41" i="32"/>
  <c r="AK40" i="32"/>
  <c r="AB54" i="32"/>
  <c r="AL44" i="32"/>
  <c r="AI45" i="32"/>
  <c r="AK44" i="32"/>
  <c r="AQ67" i="32" s="1"/>
  <c r="K113" i="32" s="1"/>
  <c r="AL51" i="32"/>
  <c r="AL45" i="32"/>
  <c r="AI46" i="32"/>
  <c r="AK45" i="32"/>
  <c r="AQ68" i="32" s="1"/>
  <c r="AL50" i="32"/>
  <c r="AR73" i="32" s="1"/>
  <c r="AI51" i="32"/>
  <c r="AL49" i="32"/>
  <c r="AR72" i="32" s="1"/>
  <c r="AI50" i="32"/>
  <c r="AL47" i="32"/>
  <c r="AR70" i="32" s="1"/>
  <c r="AI48" i="32"/>
  <c r="AK47" i="32"/>
  <c r="AQ70" i="32" s="1"/>
  <c r="AL46" i="32"/>
  <c r="AR69" i="32" s="1"/>
  <c r="S115" i="32" s="1"/>
  <c r="AI47" i="32"/>
  <c r="AK46" i="32"/>
  <c r="AQ69" i="32" s="1"/>
  <c r="K115" i="32" s="1"/>
  <c r="AG54" i="32"/>
  <c r="AI39" i="32"/>
  <c r="AL41" i="32"/>
  <c r="AI42" i="32"/>
  <c r="AK41" i="32"/>
  <c r="AQ64" i="32" s="1"/>
  <c r="AL42" i="32"/>
  <c r="AI43" i="32"/>
  <c r="AK42" i="32"/>
  <c r="AQ65" i="32" s="1"/>
  <c r="AL48" i="32"/>
  <c r="AR71" i="32" s="1"/>
  <c r="AI49" i="32"/>
  <c r="AK48" i="32"/>
  <c r="AQ71" i="32" s="1"/>
  <c r="AL43" i="32"/>
  <c r="AI44" i="32"/>
  <c r="AK43" i="32"/>
  <c r="AQ66" i="32" s="1"/>
  <c r="AA136" i="39" l="1"/>
  <c r="AK136" i="39" s="1"/>
  <c r="AN101" i="37"/>
  <c r="AO101" i="37" s="1"/>
  <c r="AG102" i="37" s="1"/>
  <c r="AI102" i="37" s="1"/>
  <c r="AD101" i="37"/>
  <c r="AE101" i="37" s="1"/>
  <c r="AR74" i="32"/>
  <c r="E8" i="41"/>
  <c r="L133" i="32"/>
  <c r="N133" i="32" s="1"/>
  <c r="K123" i="32"/>
  <c r="U132" i="32"/>
  <c r="T146" i="32"/>
  <c r="J171" i="39"/>
  <c r="E172" i="39" s="1"/>
  <c r="V171" i="39"/>
  <c r="U171" i="39"/>
  <c r="W175" i="39"/>
  <c r="P175" i="39"/>
  <c r="L176" i="39" s="1"/>
  <c r="H143" i="39"/>
  <c r="M143" i="39" s="1"/>
  <c r="J158" i="38"/>
  <c r="E159" i="38" s="1"/>
  <c r="V158" i="38"/>
  <c r="H107" i="37"/>
  <c r="AQ63" i="32"/>
  <c r="H132" i="32"/>
  <c r="I132" i="32"/>
  <c r="U114" i="32"/>
  <c r="AR68" i="32"/>
  <c r="P109" i="32"/>
  <c r="AR62" i="32"/>
  <c r="U110" i="32"/>
  <c r="AR64" i="32"/>
  <c r="U113" i="32"/>
  <c r="AR67" i="32"/>
  <c r="S113" i="32" s="1"/>
  <c r="S123" i="32" s="1"/>
  <c r="U109" i="32"/>
  <c r="AR63" i="32"/>
  <c r="U112" i="32"/>
  <c r="AR66" i="32"/>
  <c r="F109" i="32"/>
  <c r="F123" i="32" s="1"/>
  <c r="AQ62" i="32"/>
  <c r="U111" i="32"/>
  <c r="AR65" i="32"/>
  <c r="AI54" i="32"/>
  <c r="AM136" i="39" l="1"/>
  <c r="AB136" i="39"/>
  <c r="AL136" i="39" s="1"/>
  <c r="W102" i="37"/>
  <c r="AB120" i="37"/>
  <c r="AD120" i="37" s="1"/>
  <c r="AE120" i="37" s="1"/>
  <c r="N176" i="39"/>
  <c r="O176" i="39" s="1"/>
  <c r="Y171" i="39"/>
  <c r="Z171" i="39" s="1"/>
  <c r="F172" i="39"/>
  <c r="H172" i="39" s="1"/>
  <c r="E144" i="39"/>
  <c r="F159" i="38"/>
  <c r="G159" i="38" s="1"/>
  <c r="N162" i="38"/>
  <c r="Q109" i="32"/>
  <c r="R109" i="32" s="1"/>
  <c r="P123" i="32"/>
  <c r="J132" i="32"/>
  <c r="V132" i="32"/>
  <c r="O133" i="32"/>
  <c r="H109" i="32"/>
  <c r="O111" i="32"/>
  <c r="Q111" i="32" s="1"/>
  <c r="O114" i="32"/>
  <c r="Q114" i="32" s="1"/>
  <c r="O112" i="32"/>
  <c r="Q112" i="32" s="1"/>
  <c r="O113" i="32"/>
  <c r="Q113" i="32" s="1"/>
  <c r="X109" i="32"/>
  <c r="O115" i="32"/>
  <c r="AN136" i="39" l="1"/>
  <c r="AC136" i="39"/>
  <c r="AD136" i="39" s="1"/>
  <c r="AE136" i="39" s="1"/>
  <c r="X123" i="32"/>
  <c r="Y102" i="37"/>
  <c r="Z102" i="37" s="1"/>
  <c r="H159" i="38"/>
  <c r="P176" i="39"/>
  <c r="L177" i="39" s="1"/>
  <c r="N177" i="39" s="1"/>
  <c r="O177" i="39" s="1"/>
  <c r="W176" i="39"/>
  <c r="R172" i="39"/>
  <c r="U172" i="39" s="1"/>
  <c r="I172" i="39"/>
  <c r="G172" i="39"/>
  <c r="H144" i="39"/>
  <c r="M144" i="39" s="1"/>
  <c r="E145" i="39" s="1"/>
  <c r="I159" i="38"/>
  <c r="R114" i="32"/>
  <c r="W133" i="32"/>
  <c r="P133" i="32"/>
  <c r="R113" i="32"/>
  <c r="M109" i="32"/>
  <c r="R112" i="32"/>
  <c r="Q115" i="32"/>
  <c r="R115" i="32" s="1"/>
  <c r="R111" i="32"/>
  <c r="AH109" i="32"/>
  <c r="Y132" i="32"/>
  <c r="AO136" i="39" l="1"/>
  <c r="AG137" i="39" s="1"/>
  <c r="AI137" i="39" s="1"/>
  <c r="W137" i="39"/>
  <c r="AB167" i="39"/>
  <c r="AD167" i="39" s="1"/>
  <c r="AE167" i="39" s="1"/>
  <c r="AH123" i="32"/>
  <c r="AA102" i="37"/>
  <c r="AK102" i="37" s="1"/>
  <c r="L134" i="32"/>
  <c r="N134" i="32" s="1"/>
  <c r="P177" i="39"/>
  <c r="L178" i="39" s="1"/>
  <c r="N178" i="39" s="1"/>
  <c r="O178" i="39" s="1"/>
  <c r="W177" i="39"/>
  <c r="H145" i="39"/>
  <c r="M145" i="39" s="1"/>
  <c r="V172" i="39"/>
  <c r="J172" i="39"/>
  <c r="E173" i="39" s="1"/>
  <c r="F173" i="39" s="1"/>
  <c r="V159" i="38"/>
  <c r="J159" i="38"/>
  <c r="E160" i="38" s="1"/>
  <c r="R133" i="32"/>
  <c r="AI109" i="32"/>
  <c r="Z132" i="32"/>
  <c r="E110" i="32"/>
  <c r="Y137" i="39" l="1"/>
  <c r="AA137" i="39" s="1"/>
  <c r="AK137" i="39" s="1"/>
  <c r="AM102" i="37"/>
  <c r="AC102" i="37" s="1"/>
  <c r="AB102" i="37"/>
  <c r="AL102" i="37" s="1"/>
  <c r="W178" i="39"/>
  <c r="E146" i="39"/>
  <c r="H146" i="39" s="1"/>
  <c r="M146" i="39" s="1"/>
  <c r="P178" i="39"/>
  <c r="L179" i="39" s="1"/>
  <c r="Y172" i="39"/>
  <c r="R173" i="39" s="1"/>
  <c r="U173" i="39" s="1"/>
  <c r="G173" i="39"/>
  <c r="H173" i="39"/>
  <c r="I173" i="39"/>
  <c r="F160" i="38"/>
  <c r="N163" i="38"/>
  <c r="H110" i="32"/>
  <c r="O134" i="32"/>
  <c r="Y109" i="32"/>
  <c r="Z109" i="32" s="1"/>
  <c r="U133" i="32"/>
  <c r="Z137" i="39" l="1"/>
  <c r="AB137" i="39" s="1"/>
  <c r="AL137" i="39" s="1"/>
  <c r="AM137" i="39"/>
  <c r="AA109" i="32"/>
  <c r="AK109" i="32" s="1"/>
  <c r="AN102" i="37"/>
  <c r="AO102" i="37" s="1"/>
  <c r="AG103" i="37" s="1"/>
  <c r="AI103" i="37" s="1"/>
  <c r="AD102" i="37"/>
  <c r="AE102" i="37" s="1"/>
  <c r="W103" i="37" s="1"/>
  <c r="E147" i="39"/>
  <c r="H147" i="39" s="1"/>
  <c r="M147" i="39" s="1"/>
  <c r="N179" i="39"/>
  <c r="O179" i="39" s="1"/>
  <c r="V173" i="39"/>
  <c r="Z172" i="39"/>
  <c r="J173" i="39"/>
  <c r="E174" i="39" s="1"/>
  <c r="F174" i="39" s="1"/>
  <c r="I174" i="39" s="1"/>
  <c r="I160" i="38"/>
  <c r="H160" i="38"/>
  <c r="G160" i="38"/>
  <c r="M110" i="32"/>
  <c r="W134" i="32"/>
  <c r="P134" i="32"/>
  <c r="AN137" i="39" l="1"/>
  <c r="AO137" i="39" s="1"/>
  <c r="AG138" i="39" s="1"/>
  <c r="AI138" i="39" s="1"/>
  <c r="AM109" i="32"/>
  <c r="AC137" i="39"/>
  <c r="AD137" i="39" s="1"/>
  <c r="AE137" i="39" s="1"/>
  <c r="AB109" i="32"/>
  <c r="AL109" i="32" s="1"/>
  <c r="AB121" i="37"/>
  <c r="AD121" i="37" s="1"/>
  <c r="AE121" i="37" s="1"/>
  <c r="Y103" i="37"/>
  <c r="Z103" i="37" s="1"/>
  <c r="L135" i="32"/>
  <c r="N135" i="32" s="1"/>
  <c r="O135" i="32" s="1"/>
  <c r="V160" i="38"/>
  <c r="W179" i="39"/>
  <c r="E148" i="39"/>
  <c r="H148" i="39" s="1"/>
  <c r="M148" i="39" s="1"/>
  <c r="P179" i="39"/>
  <c r="L180" i="39" s="1"/>
  <c r="N180" i="39" s="1"/>
  <c r="O180" i="39" s="1"/>
  <c r="Y173" i="39"/>
  <c r="Z173" i="39" s="1"/>
  <c r="G174" i="39"/>
  <c r="H174" i="39"/>
  <c r="J160" i="38"/>
  <c r="E161" i="38" s="1"/>
  <c r="E111" i="32"/>
  <c r="H111" i="32" s="1"/>
  <c r="W138" i="39" l="1"/>
  <c r="AB168" i="39"/>
  <c r="AD168" i="39" s="1"/>
  <c r="AE168" i="39" s="1"/>
  <c r="AC109" i="32"/>
  <c r="AN109" i="32"/>
  <c r="AA103" i="37"/>
  <c r="AK103" i="37" s="1"/>
  <c r="W180" i="39"/>
  <c r="E149" i="39"/>
  <c r="H149" i="39" s="1"/>
  <c r="M149" i="39" s="1"/>
  <c r="P180" i="39"/>
  <c r="L181" i="39" s="1"/>
  <c r="R174" i="39"/>
  <c r="U174" i="39" s="1"/>
  <c r="V174" i="39"/>
  <c r="J174" i="39"/>
  <c r="E175" i="39" s="1"/>
  <c r="F175" i="39" s="1"/>
  <c r="H175" i="39" s="1"/>
  <c r="F161" i="38"/>
  <c r="H161" i="38" s="1"/>
  <c r="U126" i="37"/>
  <c r="V126" i="37"/>
  <c r="M111" i="32"/>
  <c r="W135" i="32"/>
  <c r="P135" i="32"/>
  <c r="Y138" i="39" l="1"/>
  <c r="AA138" i="39" s="1"/>
  <c r="AK138" i="39" s="1"/>
  <c r="AD109" i="32"/>
  <c r="AE109" i="32" s="1"/>
  <c r="AM103" i="37"/>
  <c r="AC103" i="37" s="1"/>
  <c r="AB103" i="37"/>
  <c r="L136" i="32"/>
  <c r="N136" i="32" s="1"/>
  <c r="O136" i="32" s="1"/>
  <c r="N181" i="39"/>
  <c r="O181" i="39" s="1"/>
  <c r="E150" i="39"/>
  <c r="Y174" i="39"/>
  <c r="R175" i="39" s="1"/>
  <c r="U175" i="39" s="1"/>
  <c r="I175" i="39"/>
  <c r="G175" i="39"/>
  <c r="I161" i="38"/>
  <c r="G161" i="38"/>
  <c r="E112" i="32"/>
  <c r="H112" i="32" s="1"/>
  <c r="Z138" i="39" l="1"/>
  <c r="AB138" i="39" s="1"/>
  <c r="AM138" i="39"/>
  <c r="AB132" i="32"/>
  <c r="AD132" i="32" s="1"/>
  <c r="AE132" i="32" s="1"/>
  <c r="W110" i="32"/>
  <c r="AL103" i="37"/>
  <c r="AD103" i="37"/>
  <c r="AE103" i="37" s="1"/>
  <c r="W181" i="39"/>
  <c r="P181" i="39"/>
  <c r="L182" i="39" s="1"/>
  <c r="H150" i="39"/>
  <c r="M150" i="39" s="1"/>
  <c r="Z174" i="39"/>
  <c r="J175" i="39"/>
  <c r="E176" i="39" s="1"/>
  <c r="V175" i="39"/>
  <c r="V161" i="38"/>
  <c r="J161" i="38"/>
  <c r="E162" i="38" s="1"/>
  <c r="M112" i="32"/>
  <c r="E113" i="32" s="1"/>
  <c r="H113" i="32" s="1"/>
  <c r="W136" i="32"/>
  <c r="P136" i="32"/>
  <c r="Y110" i="32" l="1"/>
  <c r="AC138" i="39"/>
  <c r="AD138" i="39" s="1"/>
  <c r="AE138" i="39" s="1"/>
  <c r="AL138" i="39"/>
  <c r="AN138" i="39" s="1"/>
  <c r="AO138" i="39" s="1"/>
  <c r="AG139" i="39" s="1"/>
  <c r="W104" i="37"/>
  <c r="AB122" i="37"/>
  <c r="AD122" i="37" s="1"/>
  <c r="AE122" i="37" s="1"/>
  <c r="AN103" i="37"/>
  <c r="AO103" i="37" s="1"/>
  <c r="AG104" i="37" s="1"/>
  <c r="L137" i="32"/>
  <c r="N137" i="32" s="1"/>
  <c r="F176" i="39"/>
  <c r="G176" i="39" s="1"/>
  <c r="N182" i="39"/>
  <c r="E151" i="39"/>
  <c r="Y175" i="39"/>
  <c r="R176" i="39" s="1"/>
  <c r="F162" i="38"/>
  <c r="I162" i="38" s="1"/>
  <c r="M113" i="32"/>
  <c r="AI139" i="39" l="1"/>
  <c r="W139" i="39"/>
  <c r="AB169" i="39"/>
  <c r="AD169" i="39" s="1"/>
  <c r="AE169" i="39" s="1"/>
  <c r="AI104" i="37"/>
  <c r="Y104" i="37"/>
  <c r="I176" i="39"/>
  <c r="H176" i="39"/>
  <c r="U176" i="39"/>
  <c r="O182" i="39"/>
  <c r="H151" i="39"/>
  <c r="M151" i="39" s="1"/>
  <c r="Z175" i="39"/>
  <c r="H162" i="38"/>
  <c r="G162" i="38"/>
  <c r="E114" i="32"/>
  <c r="H114" i="32" s="1"/>
  <c r="O137" i="32"/>
  <c r="Z104" i="37" l="1"/>
  <c r="Z107" i="37" s="1"/>
  <c r="Y139" i="39"/>
  <c r="AA139" i="39" s="1"/>
  <c r="AK139" i="39" s="1"/>
  <c r="AA104" i="37"/>
  <c r="AI107" i="37"/>
  <c r="J176" i="39"/>
  <c r="E177" i="39" s="1"/>
  <c r="F177" i="39" s="1"/>
  <c r="I177" i="39" s="1"/>
  <c r="V176" i="39"/>
  <c r="W182" i="39"/>
  <c r="P182" i="39"/>
  <c r="L183" i="39" s="1"/>
  <c r="E152" i="39"/>
  <c r="J162" i="38"/>
  <c r="E163" i="38" s="1"/>
  <c r="V162" i="38"/>
  <c r="U162" i="38"/>
  <c r="M114" i="32"/>
  <c r="E115" i="32" s="1"/>
  <c r="H115" i="32" s="1"/>
  <c r="W137" i="32"/>
  <c r="P137" i="32"/>
  <c r="L138" i="32" s="1"/>
  <c r="Z139" i="39" l="1"/>
  <c r="AA107" i="37"/>
  <c r="AK104" i="37"/>
  <c r="AJ107" i="37"/>
  <c r="AB104" i="37"/>
  <c r="Y176" i="39"/>
  <c r="Z176" i="39" s="1"/>
  <c r="G177" i="39"/>
  <c r="H177" i="39"/>
  <c r="N183" i="39"/>
  <c r="N186" i="39" s="1"/>
  <c r="H152" i="39"/>
  <c r="H155" i="39" s="1"/>
  <c r="F163" i="38"/>
  <c r="M115" i="32"/>
  <c r="N138" i="32"/>
  <c r="O138" i="32" s="1"/>
  <c r="AJ139" i="39" l="1"/>
  <c r="AM139" i="39" s="1"/>
  <c r="AC139" i="39" s="1"/>
  <c r="AB139" i="39"/>
  <c r="AK107" i="37"/>
  <c r="AL104" i="37"/>
  <c r="AL107" i="37" s="1"/>
  <c r="AB107" i="37"/>
  <c r="AM104" i="37"/>
  <c r="G163" i="38"/>
  <c r="G166" i="38" s="1"/>
  <c r="F166" i="38"/>
  <c r="I163" i="38"/>
  <c r="I166" i="38" s="1"/>
  <c r="H163" i="38"/>
  <c r="H166" i="38" s="1"/>
  <c r="R177" i="39"/>
  <c r="U177" i="39" s="1"/>
  <c r="V177" i="39"/>
  <c r="J177" i="39"/>
  <c r="E178" i="39" s="1"/>
  <c r="O183" i="39"/>
  <c r="O186" i="39" s="1"/>
  <c r="M152" i="39"/>
  <c r="G19" i="41" s="1"/>
  <c r="U163" i="38"/>
  <c r="Y107" i="37"/>
  <c r="E116" i="32"/>
  <c r="H116" i="32" s="1"/>
  <c r="W138" i="32"/>
  <c r="P138" i="32"/>
  <c r="L139" i="32" s="1"/>
  <c r="AJ155" i="39" l="1"/>
  <c r="AD139" i="39"/>
  <c r="AE139" i="39" s="1"/>
  <c r="W140" i="39" s="1"/>
  <c r="AL139" i="39"/>
  <c r="AN139" i="39" s="1"/>
  <c r="AO139" i="39" s="1"/>
  <c r="AG140" i="39" s="1"/>
  <c r="AI140" i="39" s="1"/>
  <c r="AN104" i="37"/>
  <c r="AN107" i="37" s="1"/>
  <c r="AM107" i="37"/>
  <c r="AC104" i="37"/>
  <c r="V163" i="38"/>
  <c r="J163" i="38"/>
  <c r="F23" i="41" s="1"/>
  <c r="Y177" i="39"/>
  <c r="Z177" i="39" s="1"/>
  <c r="F178" i="39"/>
  <c r="I178" i="39" s="1"/>
  <c r="P183" i="39"/>
  <c r="G24" i="41" s="1"/>
  <c r="W183" i="39"/>
  <c r="M116" i="32"/>
  <c r="N139" i="32"/>
  <c r="O139" i="32" s="1"/>
  <c r="AB170" i="39" l="1"/>
  <c r="AD170" i="39" s="1"/>
  <c r="AE170" i="39" s="1"/>
  <c r="Y140" i="39"/>
  <c r="AA140" i="39" s="1"/>
  <c r="AK140" i="39" s="1"/>
  <c r="AO104" i="37"/>
  <c r="D22" i="41" s="1"/>
  <c r="AC107" i="37"/>
  <c r="AD104" i="37"/>
  <c r="AE104" i="37" s="1"/>
  <c r="V166" i="38"/>
  <c r="R178" i="39"/>
  <c r="U178" i="39" s="1"/>
  <c r="H178" i="39"/>
  <c r="G178" i="39"/>
  <c r="W186" i="39"/>
  <c r="E117" i="32"/>
  <c r="H117" i="32" s="1"/>
  <c r="W139" i="32"/>
  <c r="P139" i="32"/>
  <c r="L140" i="32" s="1"/>
  <c r="Z140" i="39" l="1"/>
  <c r="AB140" i="39" s="1"/>
  <c r="AL140" i="39" s="1"/>
  <c r="AM140" i="39"/>
  <c r="AC140" i="39" s="1"/>
  <c r="AD107" i="37"/>
  <c r="AB123" i="37"/>
  <c r="AD123" i="37" s="1"/>
  <c r="D21" i="41"/>
  <c r="V178" i="39"/>
  <c r="Y178" i="39" s="1"/>
  <c r="Z178" i="39" s="1"/>
  <c r="J178" i="39"/>
  <c r="E179" i="39" s="1"/>
  <c r="M117" i="32"/>
  <c r="N140" i="32"/>
  <c r="O140" i="32" s="1"/>
  <c r="AD140" i="39" l="1"/>
  <c r="AE140" i="39" s="1"/>
  <c r="W141" i="39" s="1"/>
  <c r="AN140" i="39"/>
  <c r="AO140" i="39" s="1"/>
  <c r="AG141" i="39" s="1"/>
  <c r="AE123" i="37"/>
  <c r="AE126" i="37" s="1"/>
  <c r="AD126" i="37"/>
  <c r="R179" i="39"/>
  <c r="U179" i="39" s="1"/>
  <c r="F179" i="39"/>
  <c r="G179" i="39" s="1"/>
  <c r="E118" i="32"/>
  <c r="W140" i="32"/>
  <c r="P140" i="32"/>
  <c r="L141" i="32" s="1"/>
  <c r="AB171" i="39" l="1"/>
  <c r="AD171" i="39" s="1"/>
  <c r="AE171" i="39" s="1"/>
  <c r="AI141" i="39"/>
  <c r="Y141" i="39"/>
  <c r="H179" i="39"/>
  <c r="I179" i="39"/>
  <c r="H118" i="32"/>
  <c r="N141" i="32"/>
  <c r="O141" i="32" s="1"/>
  <c r="Z141" i="39" l="1"/>
  <c r="AA141" i="39"/>
  <c r="AK141" i="39" s="1"/>
  <c r="AM141" i="39" s="1"/>
  <c r="AC141" i="39" s="1"/>
  <c r="J179" i="39"/>
  <c r="E180" i="39" s="1"/>
  <c r="V179" i="39"/>
  <c r="M118" i="32"/>
  <c r="E119" i="32" s="1"/>
  <c r="P141" i="32"/>
  <c r="L142" i="32" s="1"/>
  <c r="W141" i="32"/>
  <c r="AB141" i="39" l="1"/>
  <c r="AL141" i="39" s="1"/>
  <c r="AN141" i="39" s="1"/>
  <c r="AO141" i="39" s="1"/>
  <c r="AG142" i="39" s="1"/>
  <c r="AI142" i="39" s="1"/>
  <c r="Y179" i="39"/>
  <c r="F180" i="39"/>
  <c r="H180" i="39" s="1"/>
  <c r="H119" i="32"/>
  <c r="N142" i="32"/>
  <c r="O142" i="32" s="1"/>
  <c r="AD141" i="39" l="1"/>
  <c r="AE141" i="39" s="1"/>
  <c r="W142" i="39" s="1"/>
  <c r="Y142" i="39" s="1"/>
  <c r="AA142" i="39" s="1"/>
  <c r="AK142" i="39" s="1"/>
  <c r="G180" i="39"/>
  <c r="I180" i="39"/>
  <c r="R180" i="39"/>
  <c r="Z179" i="39"/>
  <c r="M119" i="32"/>
  <c r="P142" i="32"/>
  <c r="L143" i="32" s="1"/>
  <c r="N143" i="32" s="1"/>
  <c r="N146" i="32" s="1"/>
  <c r="W142" i="32"/>
  <c r="AB172" i="39" l="1"/>
  <c r="AD172" i="39" s="1"/>
  <c r="AE172" i="39" s="1"/>
  <c r="Z142" i="39"/>
  <c r="AB142" i="39" s="1"/>
  <c r="AM142" i="39"/>
  <c r="AC142" i="39" s="1"/>
  <c r="U180" i="39"/>
  <c r="V180" i="39"/>
  <c r="J180" i="39"/>
  <c r="E181" i="39" s="1"/>
  <c r="O143" i="32"/>
  <c r="E120" i="32"/>
  <c r="AD142" i="39" l="1"/>
  <c r="AE142" i="39" s="1"/>
  <c r="AL142" i="39"/>
  <c r="AN142" i="39" s="1"/>
  <c r="AO142" i="39" s="1"/>
  <c r="AG143" i="39" s="1"/>
  <c r="W143" i="32"/>
  <c r="W146" i="32" s="1"/>
  <c r="O146" i="32"/>
  <c r="F181" i="39"/>
  <c r="Y180" i="39"/>
  <c r="P143" i="32"/>
  <c r="E24" i="41" s="1"/>
  <c r="H120" i="32"/>
  <c r="H123" i="32" s="1"/>
  <c r="AI143" i="39" l="1"/>
  <c r="W143" i="39"/>
  <c r="AB173" i="39"/>
  <c r="AD173" i="39" s="1"/>
  <c r="AE173" i="39" s="1"/>
  <c r="I181" i="39"/>
  <c r="R181" i="39"/>
  <c r="Z180" i="39"/>
  <c r="H181" i="39"/>
  <c r="G181" i="39"/>
  <c r="M120" i="32"/>
  <c r="E19" i="41" s="1"/>
  <c r="Y143" i="39" l="1"/>
  <c r="Z143" i="39" s="1"/>
  <c r="V181" i="39"/>
  <c r="U181" i="39"/>
  <c r="Y181" i="39" s="1"/>
  <c r="J181" i="39"/>
  <c r="E182" i="39" s="1"/>
  <c r="AA143" i="39" l="1"/>
  <c r="AK143" i="39" s="1"/>
  <c r="R182" i="39"/>
  <c r="U182" i="39" s="1"/>
  <c r="Z181" i="39"/>
  <c r="F182" i="39"/>
  <c r="I182" i="39" s="1"/>
  <c r="AM143" i="39" l="1"/>
  <c r="AC143" i="39" s="1"/>
  <c r="AB143" i="39"/>
  <c r="H182" i="39"/>
  <c r="G182" i="39"/>
  <c r="AD143" i="39" l="1"/>
  <c r="AE143" i="39" s="1"/>
  <c r="AL143" i="39"/>
  <c r="AN143" i="39" s="1"/>
  <c r="AO143" i="39" s="1"/>
  <c r="AG144" i="39" s="1"/>
  <c r="J182" i="39"/>
  <c r="E183" i="39" s="1"/>
  <c r="V182" i="39"/>
  <c r="AI144" i="39" l="1"/>
  <c r="AB174" i="39"/>
  <c r="AD174" i="39" s="1"/>
  <c r="AE174" i="39" s="1"/>
  <c r="W144" i="39"/>
  <c r="Y182" i="39"/>
  <c r="F183" i="39"/>
  <c r="O110" i="32"/>
  <c r="Y144" i="39" l="1"/>
  <c r="Z144" i="39" s="1"/>
  <c r="H183" i="39"/>
  <c r="H186" i="39" s="1"/>
  <c r="F186" i="39"/>
  <c r="I183" i="39"/>
  <c r="I186" i="39" s="1"/>
  <c r="G183" i="39"/>
  <c r="G186" i="39" s="1"/>
  <c r="R183" i="39"/>
  <c r="Z182" i="39"/>
  <c r="Q110" i="32"/>
  <c r="Q123" i="32" s="1"/>
  <c r="AA144" i="39" l="1"/>
  <c r="AK144" i="39" s="1"/>
  <c r="AM144" i="39" s="1"/>
  <c r="AC144" i="39" s="1"/>
  <c r="U183" i="39"/>
  <c r="U186" i="39" s="1"/>
  <c r="J183" i="39"/>
  <c r="G23" i="41" s="1"/>
  <c r="V183" i="39"/>
  <c r="R110" i="32"/>
  <c r="R123" i="32" s="1"/>
  <c r="AB144" i="39" l="1"/>
  <c r="AL144" i="39" s="1"/>
  <c r="AN144" i="39" s="1"/>
  <c r="AO144" i="39" s="1"/>
  <c r="AG145" i="39" s="1"/>
  <c r="AI145" i="39" s="1"/>
  <c r="V186" i="39"/>
  <c r="Y183" i="39"/>
  <c r="G25" i="41" s="1"/>
  <c r="AD144" i="39" l="1"/>
  <c r="AE144" i="39" s="1"/>
  <c r="Z183" i="39"/>
  <c r="W145" i="39" l="1"/>
  <c r="AB175" i="39"/>
  <c r="AD175" i="39" s="1"/>
  <c r="AE175" i="39" s="1"/>
  <c r="G26" i="41"/>
  <c r="AO109" i="32"/>
  <c r="AG110" i="32" s="1"/>
  <c r="Y145" i="39" l="1"/>
  <c r="AA145" i="39" s="1"/>
  <c r="AK145" i="39" s="1"/>
  <c r="AI110" i="32"/>
  <c r="Z110" i="32" s="1"/>
  <c r="Z145" i="39" l="1"/>
  <c r="AB145" i="39" s="1"/>
  <c r="AL145" i="39" s="1"/>
  <c r="AM145" i="39"/>
  <c r="AC145" i="39" s="1"/>
  <c r="AA110" i="32"/>
  <c r="AN145" i="39" l="1"/>
  <c r="AO145" i="39" s="1"/>
  <c r="AG146" i="39" s="1"/>
  <c r="AI146" i="39" s="1"/>
  <c r="AD145" i="39"/>
  <c r="AE145" i="39" s="1"/>
  <c r="AK110" i="32"/>
  <c r="AB110" i="32"/>
  <c r="W146" i="39" l="1"/>
  <c r="AB176" i="39"/>
  <c r="AD176" i="39" s="1"/>
  <c r="AE176" i="39" s="1"/>
  <c r="AL110" i="32"/>
  <c r="AM110" i="32"/>
  <c r="Y146" i="39" l="1"/>
  <c r="Z146" i="39" s="1"/>
  <c r="AC110" i="32"/>
  <c r="AN110" i="32"/>
  <c r="AO110" i="32" l="1"/>
  <c r="AG111" i="32" s="1"/>
  <c r="AI111" i="32" s="1"/>
  <c r="AA146" i="39"/>
  <c r="AK146" i="39" s="1"/>
  <c r="AM146" i="39" s="1"/>
  <c r="AC146" i="39" s="1"/>
  <c r="AD110" i="32"/>
  <c r="AE110" i="32" s="1"/>
  <c r="AB146" i="39" l="1"/>
  <c r="AL146" i="39" s="1"/>
  <c r="AN146" i="39" s="1"/>
  <c r="AO146" i="39" s="1"/>
  <c r="AG147" i="39" s="1"/>
  <c r="AI147" i="39" s="1"/>
  <c r="AB133" i="32"/>
  <c r="W111" i="32"/>
  <c r="AD146" i="39" l="1"/>
  <c r="AE146" i="39" s="1"/>
  <c r="Y111" i="32"/>
  <c r="AA111" i="32" s="1"/>
  <c r="AK111" i="32" s="1"/>
  <c r="Z111" i="32" l="1"/>
  <c r="AB111" i="32" s="1"/>
  <c r="AB177" i="39"/>
  <c r="AD177" i="39" s="1"/>
  <c r="AE177" i="39" s="1"/>
  <c r="W147" i="39"/>
  <c r="AM111" i="32"/>
  <c r="Y147" i="39" l="1"/>
  <c r="AA147" i="39" s="1"/>
  <c r="AK147" i="39" s="1"/>
  <c r="AM147" i="39" s="1"/>
  <c r="AC147" i="39" s="1"/>
  <c r="AL111" i="32"/>
  <c r="AC111" i="32"/>
  <c r="Z147" i="39" l="1"/>
  <c r="AN111" i="32"/>
  <c r="AD111" i="32"/>
  <c r="AE111" i="32" s="1"/>
  <c r="AO111" i="32" l="1"/>
  <c r="AG112" i="32" s="1"/>
  <c r="AI112" i="32" s="1"/>
  <c r="AB147" i="39"/>
  <c r="AL147" i="39" s="1"/>
  <c r="AN147" i="39" s="1"/>
  <c r="AO147" i="39" s="1"/>
  <c r="AG148" i="39" s="1"/>
  <c r="AI148" i="39" s="1"/>
  <c r="AB134" i="32"/>
  <c r="W112" i="32"/>
  <c r="AD147" i="39" l="1"/>
  <c r="AE147" i="39" s="1"/>
  <c r="Y112" i="32"/>
  <c r="Z112" i="32" s="1"/>
  <c r="W148" i="39" l="1"/>
  <c r="AB178" i="39"/>
  <c r="AD178" i="39" s="1"/>
  <c r="AE178" i="39" s="1"/>
  <c r="AA112" i="32"/>
  <c r="AK112" i="32" s="1"/>
  <c r="Y148" i="39" l="1"/>
  <c r="AA148" i="39" s="1"/>
  <c r="AK148" i="39" s="1"/>
  <c r="AM148" i="39" s="1"/>
  <c r="AC148" i="39" s="1"/>
  <c r="AM112" i="32"/>
  <c r="AB112" i="32"/>
  <c r="Z148" i="39" l="1"/>
  <c r="AB148" i="39" s="1"/>
  <c r="AL148" i="39" s="1"/>
  <c r="AN148" i="39" s="1"/>
  <c r="AO148" i="39" s="1"/>
  <c r="AG149" i="39" s="1"/>
  <c r="AI149" i="39" s="1"/>
  <c r="AL112" i="32"/>
  <c r="AC112" i="32"/>
  <c r="AD148" i="39" l="1"/>
  <c r="AE148" i="39" s="1"/>
  <c r="W149" i="39" s="1"/>
  <c r="AN112" i="32"/>
  <c r="AD112" i="32"/>
  <c r="AE112" i="32" s="1"/>
  <c r="AO112" i="32" l="1"/>
  <c r="AG113" i="32" s="1"/>
  <c r="AI113" i="32" s="1"/>
  <c r="AB179" i="39"/>
  <c r="AD179" i="39" s="1"/>
  <c r="AE179" i="39" s="1"/>
  <c r="Y149" i="39"/>
  <c r="AA149" i="39" s="1"/>
  <c r="AK149" i="39" s="1"/>
  <c r="AM149" i="39" s="1"/>
  <c r="AC149" i="39" s="1"/>
  <c r="AB135" i="32"/>
  <c r="W113" i="32"/>
  <c r="Z149" i="39" l="1"/>
  <c r="AB149" i="39" s="1"/>
  <c r="AL149" i="39" s="1"/>
  <c r="AN149" i="39" s="1"/>
  <c r="AO149" i="39" s="1"/>
  <c r="AG150" i="39" s="1"/>
  <c r="AI150" i="39" s="1"/>
  <c r="Y113" i="32"/>
  <c r="Z113" i="32" s="1"/>
  <c r="AD149" i="39" l="1"/>
  <c r="AE149" i="39" s="1"/>
  <c r="AA113" i="32"/>
  <c r="AK113" i="32" s="1"/>
  <c r="AB180" i="39" l="1"/>
  <c r="AD180" i="39" s="1"/>
  <c r="AE180" i="39" s="1"/>
  <c r="W150" i="39"/>
  <c r="AM113" i="32"/>
  <c r="AB113" i="32"/>
  <c r="Y150" i="39" l="1"/>
  <c r="Z150" i="39" s="1"/>
  <c r="AC113" i="32"/>
  <c r="AD113" i="32" s="1"/>
  <c r="AE113" i="32" s="1"/>
  <c r="AL113" i="32"/>
  <c r="AN113" i="32" s="1"/>
  <c r="AO113" i="32" s="1"/>
  <c r="AG114" i="32" s="1"/>
  <c r="AA150" i="39" l="1"/>
  <c r="AK150" i="39" s="1"/>
  <c r="AM150" i="39" s="1"/>
  <c r="AC150" i="39" s="1"/>
  <c r="AI114" i="32"/>
  <c r="W114" i="32"/>
  <c r="AB136" i="32"/>
  <c r="AB150" i="39" l="1"/>
  <c r="AL150" i="39" s="1"/>
  <c r="AN150" i="39" s="1"/>
  <c r="AO150" i="39" s="1"/>
  <c r="AG151" i="39" s="1"/>
  <c r="AI151" i="39" s="1"/>
  <c r="Y114" i="32"/>
  <c r="Z114" i="32" s="1"/>
  <c r="AD150" i="39" l="1"/>
  <c r="AE150" i="39" s="1"/>
  <c r="AA114" i="32"/>
  <c r="AK114" i="32" s="1"/>
  <c r="AB181" i="39" l="1"/>
  <c r="AD181" i="39" s="1"/>
  <c r="AE181" i="39" s="1"/>
  <c r="W151" i="39"/>
  <c r="AM114" i="32"/>
  <c r="AB114" i="32"/>
  <c r="Y151" i="39" l="1"/>
  <c r="AA151" i="39" s="1"/>
  <c r="AK151" i="39" s="1"/>
  <c r="AM151" i="39" s="1"/>
  <c r="AC151" i="39" s="1"/>
  <c r="AL114" i="32"/>
  <c r="AN114" i="32" s="1"/>
  <c r="AO114" i="32" s="1"/>
  <c r="AG115" i="32" s="1"/>
  <c r="AC114" i="32"/>
  <c r="AD114" i="32" s="1"/>
  <c r="AE114" i="32" s="1"/>
  <c r="Z151" i="39" l="1"/>
  <c r="AB151" i="39" s="1"/>
  <c r="AL151" i="39" s="1"/>
  <c r="AN151" i="39" s="1"/>
  <c r="AO151" i="39" s="1"/>
  <c r="AG152" i="39" s="1"/>
  <c r="AI152" i="39" s="1"/>
  <c r="AI155" i="39" s="1"/>
  <c r="AB137" i="32"/>
  <c r="W115" i="32"/>
  <c r="AI115" i="32"/>
  <c r="AD151" i="39" l="1"/>
  <c r="AE151" i="39" s="1"/>
  <c r="Y115" i="32"/>
  <c r="AA115" i="32" s="1"/>
  <c r="AK115" i="32" s="1"/>
  <c r="Z115" i="32" l="1"/>
  <c r="AJ115" i="32" s="1"/>
  <c r="AB182" i="39"/>
  <c r="AD182" i="39" s="1"/>
  <c r="AE182" i="39" s="1"/>
  <c r="W152" i="39"/>
  <c r="AM115" i="32" l="1"/>
  <c r="AC115" i="32" s="1"/>
  <c r="AJ123" i="32"/>
  <c r="AB115" i="32"/>
  <c r="Y152" i="39"/>
  <c r="AA152" i="39" s="1"/>
  <c r="Z152" i="39" l="1"/>
  <c r="Z155" i="39" s="1"/>
  <c r="AD115" i="32"/>
  <c r="AE115" i="32" s="1"/>
  <c r="W116" i="32" s="1"/>
  <c r="AL115" i="32"/>
  <c r="AN115" i="32" s="1"/>
  <c r="AO115" i="32" s="1"/>
  <c r="AG116" i="32" s="1"/>
  <c r="AI116" i="32" s="1"/>
  <c r="Y155" i="39"/>
  <c r="AK152" i="39"/>
  <c r="AA155" i="39"/>
  <c r="AB138" i="32" l="1"/>
  <c r="AB152" i="39"/>
  <c r="AK155" i="39"/>
  <c r="AM152" i="39"/>
  <c r="Y116" i="32"/>
  <c r="Z116" i="32" s="1"/>
  <c r="E133" i="32"/>
  <c r="AM155" i="39" l="1"/>
  <c r="AC152" i="39"/>
  <c r="AL152" i="39"/>
  <c r="AB155" i="39"/>
  <c r="AA116" i="32"/>
  <c r="AK116" i="32" s="1"/>
  <c r="F133" i="32"/>
  <c r="AL155" i="39" l="1"/>
  <c r="AN152" i="39"/>
  <c r="AN155" i="39" s="1"/>
  <c r="AC155" i="39"/>
  <c r="AD152" i="39"/>
  <c r="AM116" i="32"/>
  <c r="AC116" i="32" s="1"/>
  <c r="AB116" i="32"/>
  <c r="I133" i="32"/>
  <c r="H133" i="32"/>
  <c r="G133" i="32"/>
  <c r="AD155" i="39" l="1"/>
  <c r="AE152" i="39"/>
  <c r="AO152" i="39"/>
  <c r="G22" i="41" s="1"/>
  <c r="AD116" i="32"/>
  <c r="AE116" i="32" s="1"/>
  <c r="AL116" i="32"/>
  <c r="AN116" i="32" s="1"/>
  <c r="AO116" i="32" s="1"/>
  <c r="AG117" i="32" s="1"/>
  <c r="V133" i="32"/>
  <c r="Y133" i="32" s="1"/>
  <c r="J133" i="32"/>
  <c r="E134" i="32" s="1"/>
  <c r="AB183" i="39" l="1"/>
  <c r="AD183" i="39" s="1"/>
  <c r="G21" i="41"/>
  <c r="AI117" i="32"/>
  <c r="W117" i="32"/>
  <c r="AB139" i="32"/>
  <c r="R134" i="32"/>
  <c r="Z133" i="32"/>
  <c r="F134" i="32"/>
  <c r="AD186" i="39" l="1"/>
  <c r="AE183" i="39"/>
  <c r="AE186" i="39" s="1"/>
  <c r="Y117" i="32"/>
  <c r="Z117" i="32" s="1"/>
  <c r="G134" i="32"/>
  <c r="U134" i="32"/>
  <c r="AD133" i="32"/>
  <c r="I134" i="32"/>
  <c r="H134" i="32"/>
  <c r="AA117" i="32" l="1"/>
  <c r="AK117" i="32" s="1"/>
  <c r="AM117" i="32" s="1"/>
  <c r="AC117" i="32" s="1"/>
  <c r="J134" i="32"/>
  <c r="E135" i="32" s="1"/>
  <c r="F135" i="32" s="1"/>
  <c r="AE133" i="32"/>
  <c r="V134" i="32"/>
  <c r="AB117" i="32" l="1"/>
  <c r="AL117" i="32" s="1"/>
  <c r="AN117" i="32" s="1"/>
  <c r="AO117" i="32" s="1"/>
  <c r="AG118" i="32" s="1"/>
  <c r="G135" i="32"/>
  <c r="Y134" i="32"/>
  <c r="I135" i="32"/>
  <c r="H135" i="32"/>
  <c r="AD117" i="32" l="1"/>
  <c r="AE117" i="32" s="1"/>
  <c r="AI118" i="32"/>
  <c r="V135" i="32"/>
  <c r="R135" i="32"/>
  <c r="Z134" i="32"/>
  <c r="J135" i="32"/>
  <c r="E136" i="32" s="1"/>
  <c r="F136" i="32" s="1"/>
  <c r="AB140" i="32" l="1"/>
  <c r="W118" i="32"/>
  <c r="I136" i="32"/>
  <c r="U135" i="32"/>
  <c r="AD134" i="32"/>
  <c r="H136" i="32"/>
  <c r="G136" i="32"/>
  <c r="Y118" i="32" l="1"/>
  <c r="Z118" i="32" s="1"/>
  <c r="V136" i="32"/>
  <c r="AE134" i="32"/>
  <c r="Y135" i="32"/>
  <c r="J136" i="32"/>
  <c r="E137" i="32" s="1"/>
  <c r="AA118" i="32" l="1"/>
  <c r="AK118" i="32" s="1"/>
  <c r="AM118" i="32" s="1"/>
  <c r="AC118" i="32" s="1"/>
  <c r="R136" i="32"/>
  <c r="Z135" i="32"/>
  <c r="F137" i="32"/>
  <c r="AB118" i="32" l="1"/>
  <c r="AL118" i="32" s="1"/>
  <c r="AN118" i="32" s="1"/>
  <c r="AO118" i="32" s="1"/>
  <c r="AG119" i="32" s="1"/>
  <c r="AI119" i="32" s="1"/>
  <c r="I137" i="32"/>
  <c r="AD135" i="32"/>
  <c r="U136" i="32"/>
  <c r="H137" i="32"/>
  <c r="G137" i="32"/>
  <c r="AD118" i="32" l="1"/>
  <c r="AE118" i="32" s="1"/>
  <c r="AB141" i="32" s="1"/>
  <c r="J137" i="32"/>
  <c r="E138" i="32" s="1"/>
  <c r="F138" i="32" s="1"/>
  <c r="I138" i="32" s="1"/>
  <c r="V137" i="32"/>
  <c r="Y136" i="32"/>
  <c r="AE135" i="32"/>
  <c r="W119" i="32" l="1"/>
  <c r="R137" i="32"/>
  <c r="Z136" i="32"/>
  <c r="G138" i="32"/>
  <c r="H138" i="32"/>
  <c r="Y119" i="32" l="1"/>
  <c r="Z119" i="32" s="1"/>
  <c r="AD136" i="32"/>
  <c r="V138" i="32"/>
  <c r="U137" i="32"/>
  <c r="Y137" i="32" s="1"/>
  <c r="J138" i="32"/>
  <c r="E139" i="32" s="1"/>
  <c r="F139" i="32" s="1"/>
  <c r="I139" i="32" s="1"/>
  <c r="AA119" i="32" l="1"/>
  <c r="AK119" i="32" s="1"/>
  <c r="AM119" i="32" s="1"/>
  <c r="AC119" i="32" s="1"/>
  <c r="R138" i="32"/>
  <c r="Z137" i="32"/>
  <c r="AE136" i="32"/>
  <c r="G139" i="32"/>
  <c r="H139" i="32"/>
  <c r="AB119" i="32" l="1"/>
  <c r="AL119" i="32" s="1"/>
  <c r="AN119" i="32" s="1"/>
  <c r="AO119" i="32" s="1"/>
  <c r="AG120" i="32" s="1"/>
  <c r="AI120" i="32" s="1"/>
  <c r="AI123" i="32" s="1"/>
  <c r="AD137" i="32"/>
  <c r="V139" i="32"/>
  <c r="U138" i="32"/>
  <c r="Y138" i="32" s="1"/>
  <c r="Z138" i="32" s="1"/>
  <c r="J139" i="32"/>
  <c r="E140" i="32" s="1"/>
  <c r="F140" i="32" s="1"/>
  <c r="I140" i="32" s="1"/>
  <c r="AD119" i="32" l="1"/>
  <c r="AE119" i="32" s="1"/>
  <c r="AB142" i="32" s="1"/>
  <c r="R139" i="32"/>
  <c r="U139" i="32" s="1"/>
  <c r="Y139" i="32" s="1"/>
  <c r="AD138" i="32"/>
  <c r="AE138" i="32" s="1"/>
  <c r="AE137" i="32"/>
  <c r="G140" i="32"/>
  <c r="H140" i="32"/>
  <c r="W120" i="32" l="1"/>
  <c r="Y120" i="32" s="1"/>
  <c r="Y123" i="32" s="1"/>
  <c r="V140" i="32"/>
  <c r="R140" i="32"/>
  <c r="U140" i="32" s="1"/>
  <c r="Z139" i="32"/>
  <c r="AD139" i="32" s="1"/>
  <c r="AE139" i="32" s="1"/>
  <c r="J140" i="32"/>
  <c r="E141" i="32" s="1"/>
  <c r="F141" i="32" s="1"/>
  <c r="G141" i="32" s="1"/>
  <c r="AA120" i="32" l="1"/>
  <c r="AK120" i="32" s="1"/>
  <c r="AK123" i="32" s="1"/>
  <c r="Z120" i="32"/>
  <c r="Z123" i="32" s="1"/>
  <c r="Y140" i="32"/>
  <c r="R141" i="32" s="1"/>
  <c r="U141" i="32" s="1"/>
  <c r="H141" i="32"/>
  <c r="I141" i="32"/>
  <c r="AM120" i="32" l="1"/>
  <c r="AM123" i="32" s="1"/>
  <c r="AA123" i="32"/>
  <c r="AB120" i="32"/>
  <c r="AB123" i="32" s="1"/>
  <c r="Z140" i="32"/>
  <c r="AD140" i="32" s="1"/>
  <c r="AE140" i="32" s="1"/>
  <c r="V141" i="32"/>
  <c r="J141" i="32"/>
  <c r="E142" i="32" s="1"/>
  <c r="F142" i="32" s="1"/>
  <c r="G142" i="32" s="1"/>
  <c r="AC120" i="32" l="1"/>
  <c r="AC123" i="32" s="1"/>
  <c r="AL120" i="32"/>
  <c r="AL123" i="32" s="1"/>
  <c r="Y141" i="32"/>
  <c r="Z141" i="32" s="1"/>
  <c r="AD141" i="32" s="1"/>
  <c r="AE141" i="32" s="1"/>
  <c r="H142" i="32"/>
  <c r="I142" i="32"/>
  <c r="AN120" i="32" l="1"/>
  <c r="AN123" i="32" s="1"/>
  <c r="AD120" i="32"/>
  <c r="AD123" i="32" s="1"/>
  <c r="R142" i="32"/>
  <c r="U142" i="32" s="1"/>
  <c r="V142" i="32"/>
  <c r="J142" i="32"/>
  <c r="E143" i="32" s="1"/>
  <c r="F143" i="32" s="1"/>
  <c r="AO120" i="32" l="1"/>
  <c r="E22" i="41" s="1"/>
  <c r="AE120" i="32"/>
  <c r="AB143" i="32" s="1"/>
  <c r="G143" i="32"/>
  <c r="G146" i="32" s="1"/>
  <c r="F146" i="32"/>
  <c r="Y142" i="32"/>
  <c r="R143" i="32" s="1"/>
  <c r="H143" i="32"/>
  <c r="H146" i="32" s="1"/>
  <c r="I143" i="32"/>
  <c r="I146" i="32" s="1"/>
  <c r="E21" i="41" l="1"/>
  <c r="Z142" i="32"/>
  <c r="AD142" i="32" s="1"/>
  <c r="AE142" i="32" s="1"/>
  <c r="V143" i="32"/>
  <c r="U143" i="32"/>
  <c r="U146" i="32" s="1"/>
  <c r="J143" i="32"/>
  <c r="E23" i="41" s="1"/>
  <c r="V146" i="32" l="1"/>
  <c r="Y143" i="32"/>
  <c r="E25" i="41" s="1"/>
  <c r="Z143" i="32" l="1"/>
  <c r="E26" i="41" s="1"/>
  <c r="AD143" i="32" l="1"/>
  <c r="AD146" i="32" s="1"/>
  <c r="AE143" i="32" l="1"/>
  <c r="AE146" i="32" s="1"/>
  <c r="U40" i="38" l="1"/>
  <c r="W39" i="38" s="1"/>
  <c r="U50" i="38"/>
  <c r="W49" i="38" s="1"/>
  <c r="U49" i="38"/>
  <c r="W48" i="38" s="1"/>
  <c r="U53" i="38"/>
  <c r="W52" i="38" s="1"/>
  <c r="U54" i="38"/>
  <c r="W53" i="38" s="1"/>
  <c r="U43" i="38"/>
  <c r="W42" i="38" s="1"/>
  <c r="U48" i="38"/>
  <c r="W47" i="38" s="1"/>
  <c r="U46" i="38"/>
  <c r="W45" i="38" s="1"/>
  <c r="U45" i="38"/>
  <c r="W44" i="38" s="1"/>
  <c r="U51" i="38"/>
  <c r="W50" i="38" s="1"/>
  <c r="U47" i="38"/>
  <c r="W46" i="38" s="1"/>
  <c r="U41" i="38"/>
  <c r="W40" i="38" s="1"/>
  <c r="U44" i="38"/>
  <c r="W43" i="38" s="1"/>
  <c r="U42" i="38"/>
  <c r="W41" i="38" s="1"/>
  <c r="U52" i="38"/>
  <c r="W51" i="38" s="1"/>
  <c r="U55" i="38"/>
  <c r="W54" i="38" s="1"/>
  <c r="AA46" i="38" l="1"/>
  <c r="AB46" i="38" s="1"/>
  <c r="AD46" i="38"/>
  <c r="AA47" i="38"/>
  <c r="AH47" i="38" s="1"/>
  <c r="AD47" i="38"/>
  <c r="AA42" i="38"/>
  <c r="S151" i="38"/>
  <c r="AD42" i="38"/>
  <c r="G124" i="38"/>
  <c r="AA40" i="38"/>
  <c r="AD40" i="38"/>
  <c r="S149" i="38"/>
  <c r="G122" i="38"/>
  <c r="AA53" i="38"/>
  <c r="AH53" i="38" s="1"/>
  <c r="AD53" i="38"/>
  <c r="AA54" i="38"/>
  <c r="AH54" i="38" s="1"/>
  <c r="AD54" i="38"/>
  <c r="AA52" i="38"/>
  <c r="AH52" i="38" s="1"/>
  <c r="AD52" i="38"/>
  <c r="AA50" i="38"/>
  <c r="AH50" i="38" s="1"/>
  <c r="AD50" i="38"/>
  <c r="AA48" i="38"/>
  <c r="AH48" i="38" s="1"/>
  <c r="AD48" i="38"/>
  <c r="S154" i="38"/>
  <c r="G127" i="38"/>
  <c r="AA45" i="38"/>
  <c r="AD45" i="38"/>
  <c r="AA41" i="38"/>
  <c r="S150" i="38"/>
  <c r="G123" i="38"/>
  <c r="AD41" i="38"/>
  <c r="AA49" i="38"/>
  <c r="AH49" i="38" s="1"/>
  <c r="AD49" i="38"/>
  <c r="S153" i="38"/>
  <c r="G126" i="38"/>
  <c r="AA44" i="38"/>
  <c r="AD44" i="38"/>
  <c r="AA51" i="38"/>
  <c r="AH51" i="38" s="1"/>
  <c r="AD51" i="38"/>
  <c r="S152" i="38"/>
  <c r="G125" i="38"/>
  <c r="AA43" i="38"/>
  <c r="AD43" i="38"/>
  <c r="AD39" i="38"/>
  <c r="S148" i="38"/>
  <c r="W58" i="38"/>
  <c r="AB39" i="38"/>
  <c r="G121" i="38"/>
  <c r="U58" i="38"/>
  <c r="AO39" i="38" l="1"/>
  <c r="AS66" i="38" s="1"/>
  <c r="AO45" i="38"/>
  <c r="AS72" i="38" s="1"/>
  <c r="M154" i="38" s="1"/>
  <c r="M166" i="38" s="1"/>
  <c r="AB40" i="38"/>
  <c r="AB45" i="38"/>
  <c r="AH41" i="38"/>
  <c r="AI41" i="38" s="1"/>
  <c r="X149" i="38"/>
  <c r="J122" i="38"/>
  <c r="AB50" i="38"/>
  <c r="AB53" i="38"/>
  <c r="X150" i="38"/>
  <c r="AH42" i="38"/>
  <c r="AI42" i="38" s="1"/>
  <c r="J123" i="38"/>
  <c r="AI49" i="38"/>
  <c r="AN49" i="38"/>
  <c r="AK49" i="38"/>
  <c r="AQ76" i="38" s="1"/>
  <c r="AI52" i="38"/>
  <c r="AK52" i="38"/>
  <c r="AQ79" i="38" s="1"/>
  <c r="AN52" i="38"/>
  <c r="AI47" i="38"/>
  <c r="AK47" i="38"/>
  <c r="AQ74" i="38" s="1"/>
  <c r="AN47" i="38"/>
  <c r="X153" i="38"/>
  <c r="J126" i="38"/>
  <c r="AH45" i="38"/>
  <c r="AB52" i="38"/>
  <c r="AO40" i="38"/>
  <c r="AS67" i="38" s="1"/>
  <c r="AB47" i="38"/>
  <c r="X152" i="38"/>
  <c r="J125" i="38"/>
  <c r="AH44" i="38"/>
  <c r="AI44" i="38" s="1"/>
  <c r="AB49" i="38"/>
  <c r="G139" i="38"/>
  <c r="AI51" i="38"/>
  <c r="AN51" i="38"/>
  <c r="AK51" i="38"/>
  <c r="AQ78" i="38" s="1"/>
  <c r="AO49" i="38"/>
  <c r="AS76" i="38" s="1"/>
  <c r="AO52" i="38"/>
  <c r="AS79" i="38" s="1"/>
  <c r="AO47" i="38"/>
  <c r="AS74" i="38" s="1"/>
  <c r="X151" i="38"/>
  <c r="J124" i="38"/>
  <c r="AH43" i="38"/>
  <c r="AO51" i="38"/>
  <c r="AS78" i="38" s="1"/>
  <c r="AB41" i="38"/>
  <c r="AI48" i="38"/>
  <c r="AK48" i="38"/>
  <c r="AQ75" i="38" s="1"/>
  <c r="AN48" i="38"/>
  <c r="AI54" i="38"/>
  <c r="AK54" i="38"/>
  <c r="AQ81" i="38" s="1"/>
  <c r="AN54" i="38"/>
  <c r="AK46" i="38"/>
  <c r="AQ73" i="38" s="1"/>
  <c r="K127" i="38" s="1"/>
  <c r="AO53" i="38"/>
  <c r="AS80" i="38" s="1"/>
  <c r="AB48" i="38"/>
  <c r="X148" i="38"/>
  <c r="J121" i="38"/>
  <c r="AA58" i="38"/>
  <c r="L148" i="38" s="1"/>
  <c r="AH40" i="38"/>
  <c r="AI40" i="38" s="1"/>
  <c r="AO46" i="38"/>
  <c r="AS73" i="38" s="1"/>
  <c r="AO43" i="38"/>
  <c r="AS70" i="38" s="1"/>
  <c r="AO41" i="38"/>
  <c r="AS68" i="38" s="1"/>
  <c r="AB54" i="38"/>
  <c r="S166" i="38"/>
  <c r="AO48" i="38"/>
  <c r="AS75" i="38" s="1"/>
  <c r="AO54" i="38"/>
  <c r="AS81" i="38" s="1"/>
  <c r="AB42" i="38"/>
  <c r="AB51" i="38"/>
  <c r="AD58" i="38"/>
  <c r="AI39" i="38"/>
  <c r="AB44" i="38"/>
  <c r="AO42" i="38"/>
  <c r="AS69" i="38" s="1"/>
  <c r="AO50" i="38"/>
  <c r="AS77" i="38" s="1"/>
  <c r="AB43" i="38"/>
  <c r="AO44" i="38"/>
  <c r="AS71" i="38" s="1"/>
  <c r="AI50" i="38"/>
  <c r="AN50" i="38"/>
  <c r="AK50" i="38"/>
  <c r="AQ77" i="38" s="1"/>
  <c r="AI53" i="38"/>
  <c r="AK53" i="38"/>
  <c r="AQ80" i="38" s="1"/>
  <c r="AN53" i="38"/>
  <c r="J127" i="38"/>
  <c r="AH46" i="38"/>
  <c r="AK44" i="38" l="1"/>
  <c r="AQ71" i="38" s="1"/>
  <c r="AN44" i="38"/>
  <c r="AI45" i="38"/>
  <c r="AB58" i="38"/>
  <c r="AN41" i="38"/>
  <c r="AK41" i="38"/>
  <c r="AQ68" i="38" s="1"/>
  <c r="AN43" i="38"/>
  <c r="AN39" i="38"/>
  <c r="X166" i="38"/>
  <c r="AN45" i="38"/>
  <c r="AK45" i="38"/>
  <c r="AQ72" i="38" s="1"/>
  <c r="AK43" i="38"/>
  <c r="AQ70" i="38" s="1"/>
  <c r="AN46" i="38"/>
  <c r="AI43" i="38"/>
  <c r="K139" i="38"/>
  <c r="AK42" i="38"/>
  <c r="AQ69" i="38" s="1"/>
  <c r="AI46" i="38"/>
  <c r="AN42" i="38"/>
  <c r="AN40" i="38"/>
  <c r="N148" i="38"/>
  <c r="AK40" i="38"/>
  <c r="AQ67" i="38" s="1"/>
  <c r="AK39" i="38"/>
  <c r="AH58" i="38"/>
  <c r="J139" i="38"/>
  <c r="AI58" i="38" l="1"/>
  <c r="AQ66" i="38"/>
  <c r="F121" i="38"/>
  <c r="O148" i="38"/>
  <c r="H121" i="38" l="1"/>
  <c r="X121" i="38"/>
  <c r="F139" i="38"/>
  <c r="W148" i="38"/>
  <c r="P148" i="38"/>
  <c r="L149" i="38" s="1"/>
  <c r="AH121" i="38" l="1"/>
  <c r="AI121" i="38" s="1"/>
  <c r="Y148" i="38"/>
  <c r="R149" i="38" s="1"/>
  <c r="N149" i="38"/>
  <c r="O149" i="38" s="1"/>
  <c r="W149" i="38" s="1"/>
  <c r="Y121" i="38"/>
  <c r="X139" i="38"/>
  <c r="M121" i="38"/>
  <c r="AH139" i="38" l="1"/>
  <c r="Z121" i="38"/>
  <c r="AA121" i="38"/>
  <c r="AK121" i="38" s="1"/>
  <c r="E122" i="38"/>
  <c r="Z148" i="38"/>
  <c r="P149" i="38"/>
  <c r="L150" i="38" s="1"/>
  <c r="U149" i="38"/>
  <c r="AM121" i="38" l="1"/>
  <c r="AB121" i="38"/>
  <c r="N150" i="38"/>
  <c r="Y149" i="38"/>
  <c r="R150" i="38" s="1"/>
  <c r="H122" i="38"/>
  <c r="AC121" i="38" l="1"/>
  <c r="AD121" i="38" s="1"/>
  <c r="AE121" i="38" s="1"/>
  <c r="AB148" i="38" s="1"/>
  <c r="AD148" i="38" s="1"/>
  <c r="AL121" i="38"/>
  <c r="U150" i="38"/>
  <c r="O150" i="38"/>
  <c r="W150" i="38" s="1"/>
  <c r="M122" i="38"/>
  <c r="W122" i="38" l="1"/>
  <c r="AN121" i="38"/>
  <c r="Y150" i="38"/>
  <c r="R151" i="38" s="1"/>
  <c r="U151" i="38"/>
  <c r="E123" i="38"/>
  <c r="H123" i="38" s="1"/>
  <c r="Z149" i="38"/>
  <c r="P150" i="38"/>
  <c r="L151" i="38" s="1"/>
  <c r="AE148" i="38"/>
  <c r="Y122" i="38" l="1"/>
  <c r="AO121" i="38"/>
  <c r="AG122" i="38" s="1"/>
  <c r="AI122" i="38" s="1"/>
  <c r="M123" i="38"/>
  <c r="O151" i="38"/>
  <c r="W151" i="38" s="1"/>
  <c r="Y151" i="38" s="1"/>
  <c r="Z122" i="38" l="1"/>
  <c r="AA122" i="38"/>
  <c r="AK122" i="38" s="1"/>
  <c r="AM122" i="38" s="1"/>
  <c r="R152" i="38"/>
  <c r="E124" i="38"/>
  <c r="H124" i="38" s="1"/>
  <c r="Z150" i="38"/>
  <c r="P151" i="38"/>
  <c r="L152" i="38" s="1"/>
  <c r="AB122" i="38" l="1"/>
  <c r="AL122" i="38" s="1"/>
  <c r="AN122" i="38" s="1"/>
  <c r="AC122" i="38"/>
  <c r="O152" i="38"/>
  <c r="W152" i="38" s="1"/>
  <c r="U152" i="38"/>
  <c r="M124" i="38"/>
  <c r="AD122" i="38" l="1"/>
  <c r="AE122" i="38" s="1"/>
  <c r="AB149" i="38" s="1"/>
  <c r="AD149" i="38" s="1"/>
  <c r="AE149" i="38" s="1"/>
  <c r="AO122" i="38"/>
  <c r="AG123" i="38" s="1"/>
  <c r="AI123" i="38" s="1"/>
  <c r="Y152" i="38"/>
  <c r="R153" i="38" s="1"/>
  <c r="P152" i="38"/>
  <c r="L153" i="38" s="1"/>
  <c r="E125" i="38"/>
  <c r="H125" i="38" s="1"/>
  <c r="M125" i="38" s="1"/>
  <c r="Z151" i="38"/>
  <c r="W123" i="38" l="1"/>
  <c r="E126" i="38"/>
  <c r="H126" i="38" s="1"/>
  <c r="M126" i="38" s="1"/>
  <c r="U153" i="38"/>
  <c r="O153" i="38"/>
  <c r="W153" i="38" s="1"/>
  <c r="Z152" i="38"/>
  <c r="Y123" i="38" l="1"/>
  <c r="Z123" i="38" s="1"/>
  <c r="Y153" i="38"/>
  <c r="R154" i="38" s="1"/>
  <c r="U154" i="38"/>
  <c r="P153" i="38"/>
  <c r="L154" i="38" s="1"/>
  <c r="E127" i="38"/>
  <c r="H127" i="38" s="1"/>
  <c r="M127" i="38" s="1"/>
  <c r="AA123" i="38" l="1"/>
  <c r="AK123" i="38" s="1"/>
  <c r="AM123" i="38" s="1"/>
  <c r="AC123" i="38" s="1"/>
  <c r="Z153" i="38"/>
  <c r="E128" i="38"/>
  <c r="H128" i="38" s="1"/>
  <c r="M128" i="38" s="1"/>
  <c r="N154" i="38"/>
  <c r="O154" i="38" s="1"/>
  <c r="W154" i="38" s="1"/>
  <c r="Y154" i="38" s="1"/>
  <c r="R155" i="38" s="1"/>
  <c r="AB123" i="38" l="1"/>
  <c r="AD123" i="38" s="1"/>
  <c r="AE123" i="38" s="1"/>
  <c r="W124" i="38" s="1"/>
  <c r="Y124" i="38" s="1"/>
  <c r="Z154" i="38"/>
  <c r="P154" i="38"/>
  <c r="L155" i="38" s="1"/>
  <c r="E129" i="38"/>
  <c r="H129" i="38" s="1"/>
  <c r="M129" i="38" s="1"/>
  <c r="AB150" i="38" l="1"/>
  <c r="AD150" i="38" s="1"/>
  <c r="AE150" i="38" s="1"/>
  <c r="AL123" i="38"/>
  <c r="AN123" i="38" s="1"/>
  <c r="AO123" i="38" s="1"/>
  <c r="AG124" i="38" s="1"/>
  <c r="AI124" i="38" s="1"/>
  <c r="AA124" i="38" s="1"/>
  <c r="AK124" i="38" s="1"/>
  <c r="E130" i="38"/>
  <c r="H130" i="38" s="1"/>
  <c r="M130" i="38" s="1"/>
  <c r="O155" i="38"/>
  <c r="W155" i="38" s="1"/>
  <c r="Y155" i="38" s="1"/>
  <c r="Z124" i="38" l="1"/>
  <c r="AM124" i="38"/>
  <c r="P155" i="38"/>
  <c r="L156" i="38" s="1"/>
  <c r="R156" i="38"/>
  <c r="Z155" i="38"/>
  <c r="E131" i="38"/>
  <c r="H131" i="38" s="1"/>
  <c r="M131" i="38" s="1"/>
  <c r="AC124" i="38" l="1"/>
  <c r="AB124" i="38"/>
  <c r="AL124" i="38" s="1"/>
  <c r="E132" i="38"/>
  <c r="H132" i="38" s="1"/>
  <c r="M132" i="38" s="1"/>
  <c r="O156" i="38"/>
  <c r="W156" i="38" s="1"/>
  <c r="Y156" i="38" s="1"/>
  <c r="AD124" i="38" l="1"/>
  <c r="AE124" i="38" s="1"/>
  <c r="AN124" i="38"/>
  <c r="Z156" i="38"/>
  <c r="R157" i="38"/>
  <c r="P156" i="38"/>
  <c r="L157" i="38" s="1"/>
  <c r="E133" i="38"/>
  <c r="H133" i="38" s="1"/>
  <c r="M133" i="38" s="1"/>
  <c r="AO124" i="38" l="1"/>
  <c r="AG125" i="38" s="1"/>
  <c r="AI125" i="38" s="1"/>
  <c r="W125" i="38"/>
  <c r="AB151" i="38"/>
  <c r="AD151" i="38" s="1"/>
  <c r="AE151" i="38" s="1"/>
  <c r="O157" i="38"/>
  <c r="W157" i="38" s="1"/>
  <c r="U157" i="38"/>
  <c r="E134" i="38"/>
  <c r="H134" i="38" s="1"/>
  <c r="M134" i="38" s="1"/>
  <c r="Y125" i="38" l="1"/>
  <c r="Z125" i="38" s="1"/>
  <c r="Y157" i="38"/>
  <c r="R158" i="38" s="1"/>
  <c r="P157" i="38"/>
  <c r="L158" i="38" s="1"/>
  <c r="E135" i="38"/>
  <c r="H135" i="38" s="1"/>
  <c r="M135" i="38" s="1"/>
  <c r="AA125" i="38" l="1"/>
  <c r="AK125" i="38" s="1"/>
  <c r="AM125" i="38" s="1"/>
  <c r="Z157" i="38"/>
  <c r="E136" i="38"/>
  <c r="H136" i="38" s="1"/>
  <c r="N158" i="38"/>
  <c r="U158" i="38"/>
  <c r="AB125" i="38" l="1"/>
  <c r="AL125" i="38" s="1"/>
  <c r="AC125" i="38"/>
  <c r="O158" i="38"/>
  <c r="N166" i="38"/>
  <c r="M136" i="38"/>
  <c r="H139" i="38"/>
  <c r="AD125" i="38" l="1"/>
  <c r="AE125" i="38" s="1"/>
  <c r="W126" i="38" s="1"/>
  <c r="AN125" i="38"/>
  <c r="F19" i="41"/>
  <c r="W158" i="38"/>
  <c r="Y158" i="38" s="1"/>
  <c r="P158" i="38"/>
  <c r="L159" i="38" s="1"/>
  <c r="AB152" i="38" l="1"/>
  <c r="AD152" i="38" s="1"/>
  <c r="AE152" i="38" s="1"/>
  <c r="AO125" i="38"/>
  <c r="AG126" i="38" s="1"/>
  <c r="AI126" i="38" s="1"/>
  <c r="Y126" i="38"/>
  <c r="O159" i="38"/>
  <c r="W159" i="38" s="1"/>
  <c r="R159" i="38"/>
  <c r="Z158" i="38"/>
  <c r="Z126" i="38" l="1"/>
  <c r="AA126" i="38"/>
  <c r="AK126" i="38" s="1"/>
  <c r="U159" i="38"/>
  <c r="Y159" i="38" s="1"/>
  <c r="P159" i="38"/>
  <c r="L160" i="38" s="1"/>
  <c r="AB126" i="38" l="1"/>
  <c r="AL126" i="38" s="1"/>
  <c r="AM126" i="38"/>
  <c r="Z159" i="38"/>
  <c r="R160" i="38"/>
  <c r="O160" i="38"/>
  <c r="W160" i="38" s="1"/>
  <c r="AN126" i="38" l="1"/>
  <c r="AO126" i="38" s="1"/>
  <c r="AG127" i="38" s="1"/>
  <c r="AI127" i="38" s="1"/>
  <c r="AC126" i="38"/>
  <c r="AD126" i="38" s="1"/>
  <c r="AE126" i="38" s="1"/>
  <c r="U160" i="38"/>
  <c r="Y160" i="38" s="1"/>
  <c r="P160" i="38"/>
  <c r="L161" i="38" s="1"/>
  <c r="AB153" i="38" l="1"/>
  <c r="AD153" i="38" s="1"/>
  <c r="AE153" i="38" s="1"/>
  <c r="W127" i="38"/>
  <c r="R161" i="38"/>
  <c r="Z160" i="38"/>
  <c r="O161" i="38"/>
  <c r="W161" i="38" s="1"/>
  <c r="Y127" i="38" l="1"/>
  <c r="P161" i="38"/>
  <c r="L162" i="38" s="1"/>
  <c r="U161" i="38"/>
  <c r="U166" i="38" s="1"/>
  <c r="Z127" i="38" l="1"/>
  <c r="AA127" i="38"/>
  <c r="AK127" i="38" s="1"/>
  <c r="Y161" i="38"/>
  <c r="R162" i="38" s="1"/>
  <c r="O162" i="38"/>
  <c r="W162" i="38" s="1"/>
  <c r="AJ127" i="38" l="1"/>
  <c r="AJ139" i="38" s="1"/>
  <c r="AB127" i="38"/>
  <c r="Z161" i="38"/>
  <c r="Y162" i="38"/>
  <c r="R163" i="38" s="1"/>
  <c r="P162" i="38"/>
  <c r="L163" i="38" s="1"/>
  <c r="AM127" i="38" l="1"/>
  <c r="AC127" i="38" s="1"/>
  <c r="AD127" i="38" s="1"/>
  <c r="AE127" i="38" s="1"/>
  <c r="AL127" i="38"/>
  <c r="Z162" i="38"/>
  <c r="O163" i="38"/>
  <c r="P163" i="38" s="1"/>
  <c r="F24" i="41" s="1"/>
  <c r="AN127" i="38" l="1"/>
  <c r="AO127" i="38" s="1"/>
  <c r="AG128" i="38" s="1"/>
  <c r="AI128" i="38" s="1"/>
  <c r="AB154" i="38"/>
  <c r="AD154" i="38" s="1"/>
  <c r="AE154" i="38" s="1"/>
  <c r="W128" i="38"/>
  <c r="O166" i="38"/>
  <c r="W163" i="38"/>
  <c r="Y128" i="38" l="1"/>
  <c r="AA128" i="38" s="1"/>
  <c r="AK128" i="38" s="1"/>
  <c r="W166" i="38"/>
  <c r="Y163" i="38"/>
  <c r="Z128" i="38" l="1"/>
  <c r="AB128" i="38" s="1"/>
  <c r="AM128" i="38"/>
  <c r="AC128" i="38" s="1"/>
  <c r="F26" i="41"/>
  <c r="Z163" i="38"/>
  <c r="AD128" i="38" l="1"/>
  <c r="AE128" i="38" s="1"/>
  <c r="AL128" i="38"/>
  <c r="AN128" i="38" s="1"/>
  <c r="AO128" i="38" s="1"/>
  <c r="AG129" i="38" s="1"/>
  <c r="F25" i="41"/>
  <c r="AI129" i="38" l="1"/>
  <c r="AB155" i="38"/>
  <c r="AD155" i="38" s="1"/>
  <c r="AE155" i="38" s="1"/>
  <c r="W129" i="38"/>
  <c r="Y129" i="38" l="1"/>
  <c r="AA129" i="38" s="1"/>
  <c r="AK129" i="38" s="1"/>
  <c r="Z129" i="38" l="1"/>
  <c r="AB129" i="38" s="1"/>
  <c r="AM129" i="38"/>
  <c r="AC129" i="38" s="1"/>
  <c r="AD129" i="38" l="1"/>
  <c r="AE129" i="38" s="1"/>
  <c r="AL129" i="38"/>
  <c r="AN129" i="38" s="1"/>
  <c r="AO129" i="38" s="1"/>
  <c r="AG130" i="38" s="1"/>
  <c r="AI130" i="38" l="1"/>
  <c r="AB156" i="38"/>
  <c r="AD156" i="38" s="1"/>
  <c r="AE156" i="38" s="1"/>
  <c r="W130" i="38"/>
  <c r="Y130" i="38" l="1"/>
  <c r="Z130" i="38" s="1"/>
  <c r="AA130" i="38" l="1"/>
  <c r="AK130" i="38" s="1"/>
  <c r="AM130" i="38" l="1"/>
  <c r="AC130" i="38" s="1"/>
  <c r="AB130" i="38"/>
  <c r="AD130" i="38" l="1"/>
  <c r="AE130" i="38" s="1"/>
  <c r="AL130" i="38"/>
  <c r="AN130" i="38" s="1"/>
  <c r="AO130" i="38" s="1"/>
  <c r="AG131" i="38" s="1"/>
  <c r="AI131" i="38" l="1"/>
  <c r="AB157" i="38"/>
  <c r="AD157" i="38" s="1"/>
  <c r="AE157" i="38" s="1"/>
  <c r="W131" i="38"/>
  <c r="Y131" i="38" l="1"/>
  <c r="AA131" i="38" s="1"/>
  <c r="AK131" i="38" s="1"/>
  <c r="Z131" i="38" l="1"/>
  <c r="AM131" i="38"/>
  <c r="AC131" i="38" s="1"/>
  <c r="AB131" i="38" l="1"/>
  <c r="AL131" i="38" s="1"/>
  <c r="AN131" i="38" s="1"/>
  <c r="AO131" i="38" s="1"/>
  <c r="AG132" i="38" s="1"/>
  <c r="AD131" i="38" l="1"/>
  <c r="AE131" i="38" s="1"/>
  <c r="AI132" i="38"/>
  <c r="W132" i="38" l="1"/>
  <c r="AB158" i="38"/>
  <c r="AD158" i="38" s="1"/>
  <c r="AE158" i="38" s="1"/>
  <c r="Y132" i="38" l="1"/>
  <c r="AA132" i="38" s="1"/>
  <c r="AK132" i="38" s="1"/>
  <c r="Z132" i="38" l="1"/>
  <c r="AB132" i="38" s="1"/>
  <c r="AM132" i="38"/>
  <c r="AC132" i="38" s="1"/>
  <c r="AD132" i="38" l="1"/>
  <c r="AE132" i="38" s="1"/>
  <c r="AL132" i="38"/>
  <c r="AN132" i="38" s="1"/>
  <c r="AO132" i="38" s="1"/>
  <c r="AG133" i="38" s="1"/>
  <c r="AI133" i="38" l="1"/>
  <c r="AB159" i="38"/>
  <c r="AD159" i="38" s="1"/>
  <c r="AE159" i="38" s="1"/>
  <c r="W133" i="38"/>
  <c r="Y133" i="38" l="1"/>
  <c r="Z133" i="38" s="1"/>
  <c r="AA133" i="38" l="1"/>
  <c r="AK133" i="38" s="1"/>
  <c r="AM133" i="38" l="1"/>
  <c r="AC133" i="38" s="1"/>
  <c r="AB133" i="38"/>
  <c r="AD133" i="38" l="1"/>
  <c r="AE133" i="38" s="1"/>
  <c r="AL133" i="38"/>
  <c r="AN133" i="38" s="1"/>
  <c r="AO133" i="38" s="1"/>
  <c r="AG134" i="38" s="1"/>
  <c r="AI134" i="38" l="1"/>
  <c r="AB160" i="38"/>
  <c r="AD160" i="38" s="1"/>
  <c r="AE160" i="38" s="1"/>
  <c r="W134" i="38"/>
  <c r="Y134" i="38" l="1"/>
  <c r="Z134" i="38" s="1"/>
  <c r="AA134" i="38" l="1"/>
  <c r="AK134" i="38" l="1"/>
  <c r="AB134" i="38"/>
  <c r="AL134" i="38" l="1"/>
  <c r="AM134" i="38"/>
  <c r="AC134" i="38" s="1"/>
  <c r="AD134" i="38" s="1"/>
  <c r="AE134" i="38" s="1"/>
  <c r="AN134" i="38" l="1"/>
  <c r="AO134" i="38" s="1"/>
  <c r="AG135" i="38" s="1"/>
  <c r="AI135" i="38" s="1"/>
  <c r="AB161" i="38"/>
  <c r="AD161" i="38" s="1"/>
  <c r="W135" i="38"/>
  <c r="Y135" i="38" l="1"/>
  <c r="AA135" i="38" s="1"/>
  <c r="AE161" i="38"/>
  <c r="Z135" i="38" l="1"/>
  <c r="AB135" i="38" s="1"/>
  <c r="AL135" i="38" s="1"/>
  <c r="AK135" i="38"/>
  <c r="AM135" i="38" l="1"/>
  <c r="AC135" i="38" s="1"/>
  <c r="AD135" i="38" s="1"/>
  <c r="AE135" i="38" s="1"/>
  <c r="AB162" i="38" l="1"/>
  <c r="AD162" i="38" s="1"/>
  <c r="W136" i="38"/>
  <c r="AN135" i="38"/>
  <c r="AO135" i="38" s="1"/>
  <c r="AG136" i="38" s="1"/>
  <c r="AI136" i="38" l="1"/>
  <c r="AI139" i="38" s="1"/>
  <c r="Y136" i="38"/>
  <c r="Y139" i="38" s="1"/>
  <c r="AE162" i="38"/>
  <c r="Z136" i="38" l="1"/>
  <c r="AA136" i="38"/>
  <c r="AK136" i="38" s="1"/>
  <c r="AA139" i="38" l="1"/>
  <c r="AK139" i="38"/>
  <c r="AM136" i="38"/>
  <c r="AM139" i="38" s="1"/>
  <c r="Z139" i="38"/>
  <c r="AB136" i="38"/>
  <c r="AC136" i="38" l="1"/>
  <c r="AC139" i="38" s="1"/>
  <c r="AB139" i="38"/>
  <c r="AL136" i="38"/>
  <c r="AL139" i="38" s="1"/>
  <c r="AD136" i="38" l="1"/>
  <c r="AD139" i="38" s="1"/>
  <c r="AN136" i="38"/>
  <c r="AN139" i="38" s="1"/>
  <c r="AE136" i="38" l="1"/>
  <c r="AB163" i="38" s="1"/>
  <c r="AD163" i="38" s="1"/>
  <c r="AO136" i="38"/>
  <c r="F22" i="41" s="1"/>
  <c r="F21" i="41" l="1"/>
  <c r="AE163" i="38"/>
  <c r="AE166" i="38" s="1"/>
  <c r="AD166" i="38"/>
</calcChain>
</file>

<file path=xl/sharedStrings.xml><?xml version="1.0" encoding="utf-8"?>
<sst xmlns="http://schemas.openxmlformats.org/spreadsheetml/2006/main" count="2147" uniqueCount="480">
  <si>
    <t>RA</t>
  </si>
  <si>
    <t>Total</t>
  </si>
  <si>
    <t>Disc</t>
  </si>
  <si>
    <t>PVCF</t>
  </si>
  <si>
    <t>CSM</t>
  </si>
  <si>
    <t>Difference</t>
  </si>
  <si>
    <t>Y1'Q1</t>
  </si>
  <si>
    <t>Y1'Q2</t>
  </si>
  <si>
    <t>Y1'Q3</t>
  </si>
  <si>
    <t>Y1'Q4</t>
  </si>
  <si>
    <t>Period</t>
  </si>
  <si>
    <t>Opening
b/ce</t>
  </si>
  <si>
    <t>Premium</t>
  </si>
  <si>
    <t>Interest</t>
  </si>
  <si>
    <t>Revenue</t>
  </si>
  <si>
    <t>Closing
b/ce</t>
  </si>
  <si>
    <t>Y2'Q1</t>
  </si>
  <si>
    <t>Y2'Q2</t>
  </si>
  <si>
    <t>Y2'Q3</t>
  </si>
  <si>
    <t>Y2'Q4</t>
  </si>
  <si>
    <t>Y3'Q1</t>
  </si>
  <si>
    <t>Y3'Q2</t>
  </si>
  <si>
    <t>Y3'Q3</t>
  </si>
  <si>
    <t>Y3'Q4</t>
  </si>
  <si>
    <t>Y4'Q1</t>
  </si>
  <si>
    <t>Y4'Q2</t>
  </si>
  <si>
    <t>Y4'Q3</t>
  </si>
  <si>
    <t>Y4'Q4</t>
  </si>
  <si>
    <t>Y5'Q1</t>
  </si>
  <si>
    <t>Y5'Q2</t>
  </si>
  <si>
    <t>Y5'Q3</t>
  </si>
  <si>
    <t>Y5'Q4</t>
  </si>
  <si>
    <t>Undiscounted cash flows</t>
  </si>
  <si>
    <t>Discounted cash flows</t>
  </si>
  <si>
    <t>Coverage Units</t>
  </si>
  <si>
    <t>Claims</t>
  </si>
  <si>
    <t>Expenses</t>
  </si>
  <si>
    <t>%</t>
  </si>
  <si>
    <t>Premium
cash flow</t>
  </si>
  <si>
    <t>Risk distribution</t>
  </si>
  <si>
    <t>Premium Allocation Approach</t>
  </si>
  <si>
    <t>Acq. cost
cash flow</t>
  </si>
  <si>
    <t>Acq. cost</t>
  </si>
  <si>
    <t>Abbreviations</t>
  </si>
  <si>
    <t xml:space="preserve">excl. </t>
  </si>
  <si>
    <t>excluding</t>
  </si>
  <si>
    <t>PV</t>
  </si>
  <si>
    <t>Present Value</t>
  </si>
  <si>
    <t>exp.</t>
  </si>
  <si>
    <t>diff.</t>
  </si>
  <si>
    <t>difference</t>
  </si>
  <si>
    <t>LFRC</t>
  </si>
  <si>
    <t>PAA</t>
  </si>
  <si>
    <t>CU</t>
  </si>
  <si>
    <t>disc.</t>
  </si>
  <si>
    <t>acq</t>
  </si>
  <si>
    <t>acquisition</t>
  </si>
  <si>
    <t>Present Value of Cash Flows</t>
  </si>
  <si>
    <t>Risk Adjustment</t>
  </si>
  <si>
    <t>Contractual Service Margin</t>
  </si>
  <si>
    <t>b/ce</t>
  </si>
  <si>
    <t>balance</t>
  </si>
  <si>
    <t>distrib.</t>
  </si>
  <si>
    <t>distribution</t>
  </si>
  <si>
    <t>Liability for Remaining Coverage</t>
  </si>
  <si>
    <t>discounting, discounted</t>
  </si>
  <si>
    <t>CF</t>
  </si>
  <si>
    <t>Premium Allocation Approach - LFRC</t>
  </si>
  <si>
    <t>Period and discounting</t>
  </si>
  <si>
    <t>Cash Flows</t>
  </si>
  <si>
    <t>Coverage units</t>
  </si>
  <si>
    <t>a</t>
  </si>
  <si>
    <t>b</t>
  </si>
  <si>
    <t>i</t>
  </si>
  <si>
    <t>ii</t>
  </si>
  <si>
    <t>iii</t>
  </si>
  <si>
    <t>B120</t>
  </si>
  <si>
    <t>An entity may simplify the measurement of a group of insurance contracts using the premium allocation approach set out in paragraphs 55–59 if, and only if, at the inception of the group:</t>
  </si>
  <si>
    <t>the entity reasonably expects that such simplification would produce a measurement of the liability for remaining coverage for the group that would not differ materially from the one that would be produced applying the requirements in paragraphs 32–52; or</t>
  </si>
  <si>
    <t>the coverage period of each contract in the group (including coverage arising from all premiums within the contract boundary determined at that date applying paragraph 34) is one year or less.</t>
  </si>
  <si>
    <t>The criterion in paragraph 53(a) is not met if at the inception of the group an entity expects significant variability in the fulfilment cash flows that would affect the measurement of the liability for remaining coverage during the period before a claim is incurred. Variability in the fulfilment cash flows increases with, for example:</t>
  </si>
  <si>
    <t>the extent of future cash flows relating to any derivatives embedded in the contracts; and</t>
  </si>
  <si>
    <t>the length of the coverage period of the group of contracts.</t>
  </si>
  <si>
    <t>Using the premium allocation approach, an entity shall measure the liability for remaining coverage as follows:</t>
  </si>
  <si>
    <t>on initial recognition, the carrying amount of the liability is:</t>
  </si>
  <si>
    <t>the premiums, if any, received at initial recognition;</t>
  </si>
  <si>
    <t>minus any insurance acquisition cash flows at that date, unless the entity chooses to recognise the payments as an expense applying paragraph 59(a); and</t>
  </si>
  <si>
    <t>plus or minus any amount arising from the derecognition at that date of the asset or liability recognised for insurance acquisition cash flows applying paragraph 27.</t>
  </si>
  <si>
    <t>at the end of each subsequent reporting period, the carrying amount of the liability is the carrying amount at the start of the reporting period:</t>
  </si>
  <si>
    <t>plus the premiums received in the period;</t>
  </si>
  <si>
    <t>minus insurance acquisition cash flows; unless the entity chooses to recognise the payments as an expense applying paragraph 59(a);</t>
  </si>
  <si>
    <t>plus any amounts relating to the amortisation of insurance acquisition cash flows recognised as an expense in the reporting period; unless the entity chooses to recognise insurance acquisition cash flows as an expense applying paragraph 59(a);</t>
  </si>
  <si>
    <t>iv</t>
  </si>
  <si>
    <t>plus any adjustment to a financing component, applying paragraph 56;</t>
  </si>
  <si>
    <t>v</t>
  </si>
  <si>
    <t>minus the amount recognised as insurance revenue for coverage provided in that period (see paragraph B126); and</t>
  </si>
  <si>
    <t>B126</t>
  </si>
  <si>
    <t>vi</t>
  </si>
  <si>
    <t>minus any investment component paid or transferred to the liability for incurred claims.</t>
  </si>
  <si>
    <t>If insurance contracts in the group have a significant financing component, an entity shall adjust the carrying amount of the liability for remaining coverage to reflect the time value of money and the effect of financial risk using the discount rates specified in paragraph 36, as determined on initial recognition. The entity is not required to adjust the carrying amount of the liability for remaining coverage to reflect the time value of money and the effect of financial risk if, at initial recognition, the entity expects that the time between providing each part of the coverage and the related premium due date is no more than a year.</t>
  </si>
  <si>
    <t>If at any time during the coverage period, facts and circumstances indicate that a group of insurance contracts is onerous, an entity shall calculate the difference between:</t>
  </si>
  <si>
    <t>the carrying amount of the liability for remaining coverage determined applying paragraph 55; and</t>
  </si>
  <si>
    <t>the fulfilment cash flows that relate to remaining coverage of the group, applying paragraphs 33–37 and B36–B92. However, if, in applying paragraph 59(b), the entity does not adjust the liability for incurred claims for the time value of money and the effect of financial risk, it shall not include in the fulfilment cash flows any such adjustment.</t>
  </si>
  <si>
    <t>To the extent that the fulfilment cash flows described in paragraph 57(b) exceed the carrying amount described in paragraph 57(a), the entity shall recognise a loss in profit or loss and increase the liability for remaining coverage.</t>
  </si>
  <si>
    <t>In applying the premium allocation approach, an entity:</t>
  </si>
  <si>
    <t>may choose to recognise any insurance acquisition cash flows as expenses when it incurs those costs, provided that the coverage period of each contract in the group at initial recognition is no more than one year.</t>
  </si>
  <si>
    <t>shall measure the liability for incurred claims for the group of insurance contracts at the fulfilment cash flows relating to incurred claims, applying paragraphs 33–37 and B36–B92. However, the entity is not required to adjust future cash flows for the time value of money and the effect of financial risk if those cash flows are expected to be paid or received in one year or less from the date the claims are incurred.</t>
  </si>
  <si>
    <t>The total insurance revenue for a group of insurance contracts is the consideration for the contracts, ie the amount of premiums paid to the entity:</t>
  </si>
  <si>
    <t>adjusted for a financing effect; and</t>
  </si>
  <si>
    <t>excluding any investment components.</t>
  </si>
  <si>
    <t>B125</t>
  </si>
  <si>
    <t>An entity shall determine insurance revenue related to insurance acquisition cash flows by allocating the portion of the premiums that relate to recovering those cash flows to each reporting period in a systematic way on the basis of the passage of time. An entity shall recognise the same amount as insurance service expenses.</t>
  </si>
  <si>
    <t>When an entity applies the premium allocation approach in paragraphs 55–58, insurance revenue for the period is the amount of expected premium receipts (excluding any investment component and adjusted to reflect the time value of money and the effect of financial risk, if applicable, applying paragraph 56) allocated to the period. The entity shall allocate the expected premium receipts to each period of coverage:</t>
  </si>
  <si>
    <t>on the basis of the passage of time; but</t>
  </si>
  <si>
    <t>if the expected pattern of release of risk during the coverage period differs significantly from the passage of time, then on the basis of the expected timing of incurred insurance service expenses.</t>
  </si>
  <si>
    <t>B127</t>
  </si>
  <si>
    <t>An entity shall change the basis of allocation between paragraphs B126(a) and B126(b) as necessary if facts and circumstances change.</t>
  </si>
  <si>
    <t xml:space="preserve"> Insurance revenue</t>
  </si>
  <si>
    <t>Lapse ratio</t>
  </si>
  <si>
    <t>Premium refund on lapse</t>
  </si>
  <si>
    <t>yes</t>
  </si>
  <si>
    <t>Premium
refund</t>
  </si>
  <si>
    <t>incl.</t>
  </si>
  <si>
    <t>including</t>
  </si>
  <si>
    <t>risk</t>
  </si>
  <si>
    <t>Acquisition cost recognition</t>
  </si>
  <si>
    <t>Disc.
Factor</t>
  </si>
  <si>
    <t>CU (excl. lapses)</t>
  </si>
  <si>
    <t>RD (excl. lapses)</t>
  </si>
  <si>
    <t>Policies IF</t>
  </si>
  <si>
    <t>Description</t>
  </si>
  <si>
    <t>CU (incl. lapses)</t>
  </si>
  <si>
    <t>RD (incl. lapses)</t>
  </si>
  <si>
    <t>Adjustment to financing component</t>
  </si>
  <si>
    <r>
      <t>Claims ratio</t>
    </r>
    <r>
      <rPr>
        <b/>
        <sz val="10"/>
        <color theme="4" tint="-0.249977111117893"/>
        <rFont val="Calibri"/>
        <family val="2"/>
        <scheme val="minor"/>
      </rPr>
      <t xml:space="preserve"> [A]</t>
    </r>
  </si>
  <si>
    <t>Expense payment pattern</t>
  </si>
  <si>
    <t>Release</t>
  </si>
  <si>
    <t>Claims inflation rate</t>
  </si>
  <si>
    <t>Input</t>
  </si>
  <si>
    <t>Expense ratio</t>
  </si>
  <si>
    <t>Closed list: yes, no</t>
  </si>
  <si>
    <t>Closed list: time, policies IF, risk, immediate</t>
  </si>
  <si>
    <t>Closed list: time, policies IF, risk</t>
  </si>
  <si>
    <t>Can be equal to pattern used for UPR/EP calculations under IFRS 4</t>
  </si>
  <si>
    <t>BEL movement</t>
  </si>
  <si>
    <t>CSM movement</t>
  </si>
  <si>
    <t>GMM</t>
  </si>
  <si>
    <t>Delta</t>
  </si>
  <si>
    <t>Mkt ass chg</t>
  </si>
  <si>
    <t>Quarter</t>
  </si>
  <si>
    <t>Nominal</t>
  </si>
  <si>
    <t>Relative</t>
  </si>
  <si>
    <t>avg</t>
  </si>
  <si>
    <t>Loss Component movement</t>
  </si>
  <si>
    <t>FCF</t>
  </si>
  <si>
    <t>Perdio</t>
  </si>
  <si>
    <t>Discount rate</t>
  </si>
  <si>
    <t>Premium exp. adj.</t>
  </si>
  <si>
    <t>Avg Policies IF</t>
  </si>
  <si>
    <t>Premium pattern</t>
  </si>
  <si>
    <t>Coverage period in years</t>
  </si>
  <si>
    <t>Before Change</t>
  </si>
  <si>
    <t>After Change</t>
  </si>
  <si>
    <t>General Measurement Model</t>
  </si>
  <si>
    <t xml:space="preserve">   Premium Allocation Approach</t>
  </si>
  <si>
    <r>
      <t xml:space="preserve">Expense ratio </t>
    </r>
    <r>
      <rPr>
        <b/>
        <sz val="10"/>
        <color theme="4" tint="-0.249977111117893"/>
        <rFont val="Calibri"/>
        <family val="2"/>
        <scheme val="minor"/>
      </rPr>
      <t>[B]</t>
    </r>
  </si>
  <si>
    <r>
      <t xml:space="preserve">Combined loss ratio </t>
    </r>
    <r>
      <rPr>
        <b/>
        <sz val="10"/>
        <color theme="4" tint="-0.249977111117893"/>
        <rFont val="Calibri"/>
        <family val="2"/>
        <scheme val="minor"/>
      </rPr>
      <t>([A]+[B])x(1+[D])+[C]</t>
    </r>
  </si>
  <si>
    <t>Risk distribution pattern discounted</t>
  </si>
  <si>
    <t>Change in assumptions quarter</t>
  </si>
  <si>
    <t>Coverage units discounted</t>
  </si>
  <si>
    <r>
      <t xml:space="preserve">Acquisition cost ratio </t>
    </r>
    <r>
      <rPr>
        <b/>
        <sz val="10"/>
        <color theme="4" tint="-0.249977111117893"/>
        <rFont val="Calibri"/>
        <family val="2"/>
        <scheme val="minor"/>
      </rPr>
      <t>[C]</t>
    </r>
  </si>
  <si>
    <t>A. GMM Calculations (initial assumptions)</t>
  </si>
  <si>
    <t>B. GMM Calculations (after non-market assumption change)</t>
  </si>
  <si>
    <t>C. GMM Calculations (after market assumption change)</t>
  </si>
  <si>
    <t>D. GMM Calculations</t>
  </si>
  <si>
    <t>E. PAA Calculations</t>
  </si>
  <si>
    <t>[A1]</t>
  </si>
  <si>
    <t>[A2]</t>
  </si>
  <si>
    <t>[A3]</t>
  </si>
  <si>
    <t>[A4]</t>
  </si>
  <si>
    <t>[A5]</t>
  </si>
  <si>
    <t>[A6]</t>
  </si>
  <si>
    <t>[A7]</t>
  </si>
  <si>
    <t>[A8]</t>
  </si>
  <si>
    <t>average</t>
  </si>
  <si>
    <t>IF</t>
  </si>
  <si>
    <t>In-Force</t>
  </si>
  <si>
    <t>[A9]</t>
  </si>
  <si>
    <t>[A10]</t>
  </si>
  <si>
    <t>[A11]</t>
  </si>
  <si>
    <t>[A12]</t>
  </si>
  <si>
    <t>[A13]</t>
  </si>
  <si>
    <t>[A14]</t>
  </si>
  <si>
    <t>[A15]</t>
  </si>
  <si>
    <t>[A16]</t>
  </si>
  <si>
    <t>[A17]</t>
  </si>
  <si>
    <t>[A18]</t>
  </si>
  <si>
    <t>[A19]</t>
  </si>
  <si>
    <t>[A20]</t>
  </si>
  <si>
    <t>[A21]</t>
  </si>
  <si>
    <t>[A22]</t>
  </si>
  <si>
    <t>[A23]</t>
  </si>
  <si>
    <t>[A24]</t>
  </si>
  <si>
    <t>[A25]</t>
  </si>
  <si>
    <t>[A26]</t>
  </si>
  <si>
    <t>[A27]</t>
  </si>
  <si>
    <t>[A28]</t>
  </si>
  <si>
    <t>[A29]</t>
  </si>
  <si>
    <t>[A30]</t>
  </si>
  <si>
    <t>[A31]</t>
  </si>
  <si>
    <t>[A32]</t>
  </si>
  <si>
    <t>[B1]</t>
  </si>
  <si>
    <t>[B2]</t>
  </si>
  <si>
    <t>[B3]</t>
  </si>
  <si>
    <t>[B4]</t>
  </si>
  <si>
    <t>[B5]</t>
  </si>
  <si>
    <t>[B6]</t>
  </si>
  <si>
    <t>[B7]</t>
  </si>
  <si>
    <t>[B8]</t>
  </si>
  <si>
    <t>[B9]</t>
  </si>
  <si>
    <t>[B10]</t>
  </si>
  <si>
    <t>[B11]</t>
  </si>
  <si>
    <t>[B12]</t>
  </si>
  <si>
    <t>[B13]</t>
  </si>
  <si>
    <t>[B14]</t>
  </si>
  <si>
    <t>[B15]</t>
  </si>
  <si>
    <t>[B16]</t>
  </si>
  <si>
    <t>[B17]</t>
  </si>
  <si>
    <t>[B18]</t>
  </si>
  <si>
    <t>[B19]</t>
  </si>
  <si>
    <t>[B20]</t>
  </si>
  <si>
    <t>[B21]</t>
  </si>
  <si>
    <t>[B22]</t>
  </si>
  <si>
    <t>[B23]</t>
  </si>
  <si>
    <t>[B24]</t>
  </si>
  <si>
    <t>[B25]</t>
  </si>
  <si>
    <t>[B26]</t>
  </si>
  <si>
    <t>[B27]</t>
  </si>
  <si>
    <t>[B28]</t>
  </si>
  <si>
    <t>[B29]</t>
  </si>
  <si>
    <t>[B30]</t>
  </si>
  <si>
    <t>[B31]</t>
  </si>
  <si>
    <t>[B32]</t>
  </si>
  <si>
    <t>[B33]</t>
  </si>
  <si>
    <t>[B34]</t>
  </si>
  <si>
    <t>[B35]</t>
  </si>
  <si>
    <t>[C1]</t>
  </si>
  <si>
    <t>[C2]</t>
  </si>
  <si>
    <t>[C3]</t>
  </si>
  <si>
    <t>[C4]</t>
  </si>
  <si>
    <t>[C5]</t>
  </si>
  <si>
    <t>[C6]</t>
  </si>
  <si>
    <t>[C7]</t>
  </si>
  <si>
    <t>[C8]</t>
  </si>
  <si>
    <t>[C9]</t>
  </si>
  <si>
    <t>[C10]</t>
  </si>
  <si>
    <t>[C11]</t>
  </si>
  <si>
    <t>[C12]</t>
  </si>
  <si>
    <t>[C13]</t>
  </si>
  <si>
    <t>[C14]</t>
  </si>
  <si>
    <t>[C15]</t>
  </si>
  <si>
    <t>[C16]</t>
  </si>
  <si>
    <t>[C17]</t>
  </si>
  <si>
    <t>[C18]</t>
  </si>
  <si>
    <t>[C19]</t>
  </si>
  <si>
    <t>[C20]</t>
  </si>
  <si>
    <t>[C21]</t>
  </si>
  <si>
    <t>[C22]</t>
  </si>
  <si>
    <t>[C23]</t>
  </si>
  <si>
    <t>[C24]</t>
  </si>
  <si>
    <t>[C25]</t>
  </si>
  <si>
    <t>[C26]</t>
  </si>
  <si>
    <t>[C27]</t>
  </si>
  <si>
    <t>[C28]</t>
  </si>
  <si>
    <t>[C29]</t>
  </si>
  <si>
    <t>[C30]</t>
  </si>
  <si>
    <t>[D1]</t>
  </si>
  <si>
    <t>[D2]</t>
  </si>
  <si>
    <t>[D3]</t>
  </si>
  <si>
    <t>[D4]</t>
  </si>
  <si>
    <t>[D5]</t>
  </si>
  <si>
    <t>[D6]</t>
  </si>
  <si>
    <t>[D7]</t>
  </si>
  <si>
    <t>[D8]</t>
  </si>
  <si>
    <t>[D9]</t>
  </si>
  <si>
    <t>[D10]</t>
  </si>
  <si>
    <t>[D11]</t>
  </si>
  <si>
    <t>[D12]</t>
  </si>
  <si>
    <t>[D13]</t>
  </si>
  <si>
    <t>[D14]</t>
  </si>
  <si>
    <t>[D15]</t>
  </si>
  <si>
    <t>[D16]</t>
  </si>
  <si>
    <t>[D17]</t>
  </si>
  <si>
    <t>[D18]</t>
  </si>
  <si>
    <t>[D19]</t>
  </si>
  <si>
    <t>[D20]</t>
  </si>
  <si>
    <t>[D21]</t>
  </si>
  <si>
    <t>[D22]</t>
  </si>
  <si>
    <t>[D23]</t>
  </si>
  <si>
    <t>[D24]</t>
  </si>
  <si>
    <t>[D25]</t>
  </si>
  <si>
    <t>[D26]</t>
  </si>
  <si>
    <t>[D27]</t>
  </si>
  <si>
    <t>[D28]</t>
  </si>
  <si>
    <t>[D29]</t>
  </si>
  <si>
    <t>[D30]</t>
  </si>
  <si>
    <t>[D31]</t>
  </si>
  <si>
    <t>[C31]</t>
  </si>
  <si>
    <t>[C32]</t>
  </si>
  <si>
    <t>[C33]</t>
  </si>
  <si>
    <t>[C34]</t>
  </si>
  <si>
    <t>[C35]</t>
  </si>
  <si>
    <t>[E1]</t>
  </si>
  <si>
    <t>[E2]</t>
  </si>
  <si>
    <t>[E3]</t>
  </si>
  <si>
    <t>[E4]</t>
  </si>
  <si>
    <t>[E5]</t>
  </si>
  <si>
    <t>[E6]</t>
  </si>
  <si>
    <t>[E7]</t>
  </si>
  <si>
    <t>[E8]</t>
  </si>
  <si>
    <t>[E9]</t>
  </si>
  <si>
    <t>[E10]</t>
  </si>
  <si>
    <t>[E11]</t>
  </si>
  <si>
    <t>[E12]</t>
  </si>
  <si>
    <t>[E13]</t>
  </si>
  <si>
    <t>[E14]</t>
  </si>
  <si>
    <t>[E15]</t>
  </si>
  <si>
    <t>[E16]</t>
  </si>
  <si>
    <t>[E17]</t>
  </si>
  <si>
    <t>[E18]</t>
  </si>
  <si>
    <t>[E19]</t>
  </si>
  <si>
    <t>[E20]</t>
  </si>
  <si>
    <t>[E21]</t>
  </si>
  <si>
    <t>[E22]</t>
  </si>
  <si>
    <t>[E23]</t>
  </si>
  <si>
    <t>[E24]</t>
  </si>
  <si>
    <t>[E25]</t>
  </si>
  <si>
    <t>RD</t>
  </si>
  <si>
    <t>Risk Distribution</t>
  </si>
  <si>
    <t>Fulfilment Cash Flows</t>
  </si>
  <si>
    <t>Future premium</t>
  </si>
  <si>
    <t>Risk adjustment movement</t>
  </si>
  <si>
    <t>BEL</t>
  </si>
  <si>
    <t>Best Estimate of Liability</t>
  </si>
  <si>
    <t>Change</t>
  </si>
  <si>
    <t>adj.</t>
  </si>
  <si>
    <t>adjustment</t>
  </si>
  <si>
    <t>experience</t>
  </si>
  <si>
    <t>ass</t>
  </si>
  <si>
    <t>assumptions</t>
  </si>
  <si>
    <t>amort.</t>
  </si>
  <si>
    <t>amortisation</t>
  </si>
  <si>
    <t>Release:
Policies IF</t>
  </si>
  <si>
    <t>New
business</t>
  </si>
  <si>
    <t>Cash
inflow</t>
  </si>
  <si>
    <t>Cash
outflow</t>
  </si>
  <si>
    <t>Non-mkt
ass chg</t>
  </si>
  <si>
    <t>Mkt
ass chg</t>
  </si>
  <si>
    <t>Claims ratio</t>
  </si>
  <si>
    <t>Acquisition
cost ratio</t>
  </si>
  <si>
    <t>Claims inflation
rate</t>
  </si>
  <si>
    <t>Premium refund
on lapse</t>
  </si>
  <si>
    <t>Expense payment
pattern</t>
  </si>
  <si>
    <t>P&amp;L</t>
  </si>
  <si>
    <t>Profit &amp; Loss</t>
  </si>
  <si>
    <t>UPR</t>
  </si>
  <si>
    <t>Unearned Premium Reserve</t>
  </si>
  <si>
    <t>EP</t>
  </si>
  <si>
    <t>Earned Premium</t>
  </si>
  <si>
    <t>Represents pattern of loss occurrence</t>
  </si>
  <si>
    <t>2 years</t>
  </si>
  <si>
    <t>3 years</t>
  </si>
  <si>
    <t>4 years</t>
  </si>
  <si>
    <t>5 years</t>
  </si>
  <si>
    <t>PAA LFRC before floor comes down to zero</t>
  </si>
  <si>
    <t>PAA LFRC after floor comes down to zero</t>
  </si>
  <si>
    <t>FCF comes down to zero</t>
  </si>
  <si>
    <t>RA comes down to zero</t>
  </si>
  <si>
    <t>PV of future premiums comes down to zero</t>
  </si>
  <si>
    <t>Total nominal future premiums comes down to zero</t>
  </si>
  <si>
    <t>A</t>
  </si>
  <si>
    <t>B</t>
  </si>
  <si>
    <t>C</t>
  </si>
  <si>
    <t>D</t>
  </si>
  <si>
    <t>BEL comes down to zero</t>
  </si>
  <si>
    <t>Check description</t>
  </si>
  <si>
    <t>Section</t>
  </si>
  <si>
    <t>CSM comes down to zero</t>
  </si>
  <si>
    <t>LC comes down to zero</t>
  </si>
  <si>
    <t>E</t>
  </si>
  <si>
    <t>Unrecognised acq. cost comes down to zero</t>
  </si>
  <si>
    <t>Unearned revenue</t>
  </si>
  <si>
    <t>Acq. Cost
amort.</t>
  </si>
  <si>
    <t>no</t>
  </si>
  <si>
    <t>quarterly</t>
  </si>
  <si>
    <r>
      <t xml:space="preserve">Risk adjustment percentage </t>
    </r>
    <r>
      <rPr>
        <b/>
        <sz val="10"/>
        <color theme="4" tint="-0.249977111117893"/>
        <rFont val="Calibri"/>
        <family val="2"/>
        <scheme val="minor"/>
      </rPr>
      <t>[D]</t>
    </r>
  </si>
  <si>
    <t>Release:
Risk</t>
  </si>
  <si>
    <t>After
floor</t>
  </si>
  <si>
    <t>Release:
Time</t>
  </si>
  <si>
    <t>Premium
exp. adj.</t>
  </si>
  <si>
    <t>[D32]</t>
  </si>
  <si>
    <t>pattern</t>
  </si>
  <si>
    <t>CSM
floor</t>
  </si>
  <si>
    <t>LC
Floor</t>
  </si>
  <si>
    <t>[D33]</t>
  </si>
  <si>
    <t>[D34]</t>
  </si>
  <si>
    <t>[D35]</t>
  </si>
  <si>
    <t>[D36]</t>
  </si>
  <si>
    <t>Premium experience adj. goes to CSM</t>
  </si>
  <si>
    <t>r</t>
  </si>
  <si>
    <t>abrev</t>
  </si>
  <si>
    <t>chg</t>
  </si>
  <si>
    <t>mkt</t>
  </si>
  <si>
    <t>market</t>
  </si>
  <si>
    <t>reins</t>
  </si>
  <si>
    <t>reinsurance</t>
  </si>
  <si>
    <t>abbreviations</t>
  </si>
  <si>
    <t>Unearned revenue comes down to zero</t>
  </si>
  <si>
    <t>GWP</t>
  </si>
  <si>
    <t>Gross Written Premium</t>
  </si>
  <si>
    <t>Percentage of claims in relation to premium</t>
  </si>
  <si>
    <t>Should include claims handling costs and other cost directly attributable to claims.</t>
  </si>
  <si>
    <t>Claims should be net of salvages and subrogations to give the best estimate of the total claims cost.</t>
  </si>
  <si>
    <t>Should exclude attributable expenses not directly related claims because they are included in the expense ratio (see below)</t>
  </si>
  <si>
    <t>Should exclude acquisition costs because they are included in acquisition cost ratio. (see below)</t>
  </si>
  <si>
    <t>Should represent best estimate of claims i.e. without any risk adjustments. Risk adjustment is allowed for separately.</t>
  </si>
  <si>
    <t>Should exclude claims handling expenses because they are included in claims ratio</t>
  </si>
  <si>
    <t>Should exclude acquisition costs because they are included in acquisition cost ratio</t>
  </si>
  <si>
    <t>Should represent best estimate of expenses i.e. without any risk adjustments. Risk adjustment is allowed for separately.</t>
  </si>
  <si>
    <t>Percentage of acquisition costs in relation to premium</t>
  </si>
  <si>
    <t>Should include both direct acquisition costs like commissions and indirect acquisition costs i.e. the portion of attributable overheads representing acquisition costs.</t>
  </si>
  <si>
    <t>Under IFRS17 acquisition costs do not have to be incremental i.e. vary on the sales volume</t>
  </si>
  <si>
    <t>Nominal value premiums i.e. undiscounted value. In many cases it will be equal to Gross Written Premiums (GWP)</t>
  </si>
  <si>
    <t>Should disregard lapses - premiums will be decreased by lapses in the projection</t>
  </si>
  <si>
    <t>Total premiums</t>
  </si>
  <si>
    <t>Premiums pattern</t>
  </si>
  <si>
    <t>Closed list: quarterly, semi-annual, annual, single, pattern</t>
  </si>
  <si>
    <t>Risk adjustment
percentage</t>
  </si>
  <si>
    <t>If "pattern" option is selected then the model spreads the premium in line with the pattern given in [A15] and [B15]</t>
  </si>
  <si>
    <t>IFRS17 discount rate from the underwriting year</t>
  </si>
  <si>
    <t>Should represent the locked-in discount rate relate to the analysed underwriting year</t>
  </si>
  <si>
    <t>Single rate assumed for the whole projection (simplification)</t>
  </si>
  <si>
    <t>Claims inflation rate representing expected increases in claims</t>
  </si>
  <si>
    <t>Ratio of lapses (resignations) in terms of the number of policies</t>
  </si>
  <si>
    <t>Default option: no</t>
  </si>
  <si>
    <t>Coverage units
discounted</t>
  </si>
  <si>
    <t>Yes: CSM release in each quarter will be done on discounted coverage units basis (more CSM released in earlier years)</t>
  </si>
  <si>
    <t>No: CSM release in each quarter will be done on undiscounted coverage units basis</t>
  </si>
  <si>
    <t>Risk distribution discounted</t>
  </si>
  <si>
    <t>Yes: Allocation of premium to revenue will be done on discounted basis (more revenue allocated to earlier years)</t>
  </si>
  <si>
    <t>No: Allocation of premium to revenue will be done on nominal basis</t>
  </si>
  <si>
    <t>Yes: In case of a lapse premium is refunded to a policyholder (lowering revenue)</t>
  </si>
  <si>
    <t>No: In case of a lapse premium is not be refunded to the policyholder (full premium is recognized in revenue)</t>
  </si>
  <si>
    <t>Acquisition cost amortisation pattern</t>
  </si>
  <si>
    <t>Time: Acquisition cost is amortized in proportion to time</t>
  </si>
  <si>
    <t>Policies IF: Acquisition cost is amortized in proportion to the number active policies</t>
  </si>
  <si>
    <t>Risk: Acquisition cost is amortized in proportion to risk</t>
  </si>
  <si>
    <t>Immediate: Immediate recognition of acquisition cost. Allowed only for contracts with the coverage period up to one year</t>
  </si>
  <si>
    <t>Yes: Interest is accreted on the PAA LFRC</t>
  </si>
  <si>
    <t>No: No interest is accreted on the PAA LFRC</t>
  </si>
  <si>
    <t>Default option: time</t>
  </si>
  <si>
    <t>Acquisition costs
amortisation pattern</t>
  </si>
  <si>
    <t>AFRC</t>
  </si>
  <si>
    <t>Asset for Remaining Coverage</t>
  </si>
  <si>
    <t>Time: Expenses are projected in the same amount in all projection quarters (fixed expenses, independent on number of active policies or premium)</t>
  </si>
  <si>
    <t>Policies IF: Expenses are projected in proportion to number of active policies (expense per policy is fixed)</t>
  </si>
  <si>
    <t>Risk: Expenses are projected in proportion to risk</t>
  </si>
  <si>
    <t>Yes: Premium experience adjustment goes to the CSM</t>
  </si>
  <si>
    <t>No: Premium experience adjustment is recognised in the P&amp;L</t>
  </si>
  <si>
    <t>The closer the pattern of coverage units is to the risk distribution the smaller the differences between two measurement models</t>
  </si>
  <si>
    <t>The pattern impacts results not the value itself (e.g. if uniform - can be "1" in all cells)</t>
  </si>
  <si>
    <t>Examples of coverage units (sum assured, annuity payment)</t>
  </si>
  <si>
    <t>Default: Pattern of sum insured</t>
  </si>
  <si>
    <t>Typical deviations from uniform distribution: seasonality (e.g. flood) or engineering contracts where risk increases over time</t>
  </si>
  <si>
    <t>Premium payment pattern</t>
  </si>
  <si>
    <t>Premium payment
pattern</t>
  </si>
  <si>
    <t>Represents pattern of premium payments</t>
  </si>
  <si>
    <t>This premium payment pattern is used if in "Premiums pattern" input option "pattern" is selected.</t>
  </si>
  <si>
    <t>Percentage of attributable expenses (attributable to insurance contracts) in relation to premium</t>
  </si>
  <si>
    <t>Risk adjustment as the percentage in relation to claims and expenses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</si>
</sst>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_ ;\-#,##0\ "/>
    <numFmt numFmtId="165" formatCode="#,##0.00_ ;\-#,##0.00\ "/>
    <numFmt numFmtId="166" formatCode="#,##0.0_ ;\-#,##0.0\ "/>
    <numFmt numFmtId="167" formatCode="0.0%"/>
    <numFmt numFmtId="168" formatCode="#,##0.0"/>
    <numFmt numFmtId="169" formatCode="0.000"/>
    <numFmt numFmtId="170" formatCode="#,##0.0000"/>
    <numFmt numFmtId="171" formatCode="0.000%"/>
    <numFmt numFmtId="172" formatCode="#,##0.000_ ;\-#,##0.000\ "/>
  </numFmts>
  <fonts count="26" x14ac:knownFonts="1">
    <font>
      <sz val="11"/>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sz val="11"/>
      <color theme="1"/>
      <name val="Calibri"/>
      <family val="2"/>
      <scheme val="minor"/>
    </font>
    <font>
      <b/>
      <sz val="10"/>
      <color theme="1" tint="0.34998626667073579"/>
      <name val="Calibri"/>
      <family val="2"/>
      <scheme val="minor"/>
    </font>
    <font>
      <b/>
      <sz val="11"/>
      <color theme="1" tint="0.34998626667073579"/>
      <name val="Calibri"/>
      <family val="2"/>
      <scheme val="minor"/>
    </font>
    <font>
      <b/>
      <sz val="12"/>
      <color theme="1"/>
      <name val="Calibri"/>
      <family val="2"/>
      <scheme val="minor"/>
    </font>
    <font>
      <sz val="12"/>
      <color theme="1"/>
      <name val="Calibri"/>
      <family val="2"/>
      <scheme val="minor"/>
    </font>
    <font>
      <b/>
      <sz val="12"/>
      <color rgb="FF231F20"/>
      <name val="Calibri"/>
      <family val="2"/>
      <scheme val="minor"/>
    </font>
    <font>
      <sz val="12"/>
      <color rgb="FF231F20"/>
      <name val="Calibri"/>
      <family val="2"/>
      <scheme val="minor"/>
    </font>
    <font>
      <b/>
      <sz val="10"/>
      <color theme="4" tint="-0.249977111117893"/>
      <name val="Calibri"/>
      <family val="2"/>
      <scheme val="minor"/>
    </font>
    <font>
      <b/>
      <u/>
      <sz val="12"/>
      <color theme="1"/>
      <name val="Calibri"/>
      <family val="2"/>
      <scheme val="minor"/>
    </font>
    <font>
      <b/>
      <sz val="14"/>
      <color theme="1"/>
      <name val="Calibri"/>
      <family val="2"/>
      <scheme val="minor"/>
    </font>
    <font>
      <sz val="12"/>
      <color rgb="FF222222"/>
      <name val="Arial"/>
      <family val="2"/>
      <charset val="238"/>
    </font>
    <font>
      <b/>
      <sz val="14"/>
      <color rgb="FFFF0000"/>
      <name val="Calibri"/>
      <family val="2"/>
      <scheme val="minor"/>
    </font>
    <font>
      <sz val="10"/>
      <color rgb="FF6B6351"/>
      <name val="Arial"/>
      <family val="2"/>
    </font>
    <font>
      <sz val="10"/>
      <color theme="1"/>
      <name val="Open Sans"/>
      <family val="2"/>
    </font>
    <font>
      <b/>
      <sz val="10"/>
      <color rgb="FFFFC000"/>
      <name val="Arial"/>
      <family val="2"/>
    </font>
    <font>
      <b/>
      <sz val="10"/>
      <color theme="0"/>
      <name val="Arial"/>
      <family val="2"/>
    </font>
    <font>
      <b/>
      <sz val="10"/>
      <color theme="2" tint="-0.749992370372631"/>
      <name val="Arial"/>
      <family val="2"/>
    </font>
    <font>
      <sz val="10"/>
      <color rgb="FFFF0000"/>
      <name val="Calibri"/>
      <family val="2"/>
      <scheme val="minor"/>
    </font>
    <font>
      <sz val="11"/>
      <color theme="1" tint="0.34998626667073579"/>
      <name val="Calibri"/>
      <family val="2"/>
      <scheme val="minor"/>
    </font>
    <font>
      <sz val="8"/>
      <name val="Calibri"/>
      <family val="2"/>
      <scheme val="minor"/>
    </font>
    <font>
      <b/>
      <sz val="14"/>
      <color theme="4" tint="-0.249977111117893"/>
      <name val="Calibri"/>
      <family val="2"/>
      <scheme val="minor"/>
    </font>
    <font>
      <sz val="10"/>
      <color theme="1"/>
      <name val="Arial"/>
      <family val="2"/>
    </font>
  </fonts>
  <fills count="9">
    <fill>
      <patternFill patternType="none"/>
    </fill>
    <fill>
      <patternFill patternType="gray125"/>
    </fill>
    <fill>
      <patternFill patternType="solid">
        <fgColor indexed="65"/>
        <bgColor indexed="64"/>
      </patternFill>
    </fill>
    <fill>
      <patternFill patternType="solid">
        <fgColor theme="8" tint="0.79998168889431442"/>
        <bgColor indexed="64"/>
      </patternFill>
    </fill>
    <fill>
      <patternFill patternType="solid">
        <fgColor theme="0"/>
        <bgColor indexed="64"/>
      </patternFill>
    </fill>
    <fill>
      <patternFill patternType="solid">
        <fgColor rgb="FFFFD200"/>
        <bgColor indexed="64"/>
      </patternFill>
    </fill>
    <fill>
      <patternFill patternType="solid">
        <fgColor rgb="FF6B6351"/>
        <bgColor indexed="64"/>
      </patternFill>
    </fill>
    <fill>
      <patternFill patternType="solid">
        <fgColor rgb="FFD9D9D9"/>
        <bgColor indexed="64"/>
      </patternFill>
    </fill>
    <fill>
      <patternFill patternType="solid">
        <fgColor theme="4" tint="-0.249977111117893"/>
        <bgColor indexed="64"/>
      </patternFill>
    </fill>
  </fills>
  <borders count="17">
    <border>
      <left/>
      <right/>
      <top/>
      <bottom/>
      <diagonal/>
    </border>
    <border>
      <left/>
      <right/>
      <top/>
      <bottom style="thin">
        <color theme="4" tint="-0.499984740745262"/>
      </bottom>
      <diagonal/>
    </border>
    <border>
      <left/>
      <right/>
      <top style="thin">
        <color theme="4" tint="-0.499984740745262"/>
      </top>
      <bottom style="thin">
        <color theme="4" tint="-0.499984740745262"/>
      </bottom>
      <diagonal/>
    </border>
    <border>
      <left/>
      <right/>
      <top/>
      <bottom style="thin">
        <color indexed="64"/>
      </bottom>
      <diagonal/>
    </border>
    <border>
      <left/>
      <right/>
      <top style="thin">
        <color indexed="64"/>
      </top>
      <bottom style="thin">
        <color theme="4" tint="-0.499984740745262"/>
      </bottom>
      <diagonal/>
    </border>
    <border>
      <left style="thin">
        <color theme="0"/>
      </left>
      <right style="thin">
        <color theme="0"/>
      </right>
      <top style="thin">
        <color theme="0"/>
      </top>
      <bottom style="thin">
        <color theme="0"/>
      </bottom>
      <diagonal/>
    </border>
    <border>
      <left/>
      <right/>
      <top style="thin">
        <color theme="1"/>
      </top>
      <bottom style="thin">
        <color theme="4" tint="-0.499984740745262"/>
      </bottom>
      <diagonal/>
    </border>
    <border>
      <left/>
      <right/>
      <top/>
      <bottom style="thin">
        <color theme="1"/>
      </bottom>
      <diagonal/>
    </border>
    <border>
      <left style="thin">
        <color rgb="FFA6A6A6"/>
      </left>
      <right style="thin">
        <color rgb="FFA6A6A6"/>
      </right>
      <top style="thin">
        <color rgb="FFA6A6A6"/>
      </top>
      <bottom style="thin">
        <color rgb="FFA6A6A6"/>
      </bottom>
      <diagonal/>
    </border>
    <border>
      <left style="thin">
        <color rgb="FFA6A6A6"/>
      </left>
      <right style="thin">
        <color rgb="FFA6A6A6"/>
      </right>
      <top style="thin">
        <color rgb="FFA6A6A6"/>
      </top>
      <bottom/>
      <diagonal/>
    </border>
    <border>
      <left style="thin">
        <color rgb="FFA6A6A6"/>
      </left>
      <right style="thin">
        <color rgb="FFA6A6A6"/>
      </right>
      <top style="thin">
        <color rgb="FFA6A6A6"/>
      </top>
      <bottom style="medium">
        <color theme="4" tint="-0.249977111117893"/>
      </bottom>
      <diagonal/>
    </border>
    <border>
      <left style="thin">
        <color rgb="FFA6A6A6"/>
      </left>
      <right style="thin">
        <color rgb="FFA6A6A6"/>
      </right>
      <top style="medium">
        <color theme="4" tint="-0.249977111117893"/>
      </top>
      <bottom style="medium">
        <color theme="4" tint="-0.249977111117893"/>
      </bottom>
      <diagonal/>
    </border>
    <border>
      <left style="thin">
        <color rgb="FFA6A6A6"/>
      </left>
      <right style="thin">
        <color rgb="FFA6A6A6"/>
      </right>
      <top style="medium">
        <color theme="4" tint="-0.249977111117893"/>
      </top>
      <bottom style="thin">
        <color rgb="FFA6A6A6"/>
      </bottom>
      <diagonal/>
    </border>
    <border>
      <left style="thin">
        <color rgb="FFA6A6A6"/>
      </left>
      <right style="thin">
        <color rgb="FFA6A6A6"/>
      </right>
      <top style="medium">
        <color theme="4" tint="-0.249977111117893"/>
      </top>
      <bottom/>
      <diagonal/>
    </border>
    <border>
      <left style="thin">
        <color rgb="FFA6A6A6"/>
      </left>
      <right style="thin">
        <color rgb="FFA6A6A6"/>
      </right>
      <top/>
      <bottom style="medium">
        <color theme="4" tint="-0.249977111117893"/>
      </bottom>
      <diagonal/>
    </border>
    <border>
      <left style="thin">
        <color rgb="FFA6A6A6"/>
      </left>
      <right style="thin">
        <color rgb="FFA6A6A6"/>
      </right>
      <top/>
      <bottom style="thin">
        <color rgb="FFA6A6A6"/>
      </bottom>
      <diagonal/>
    </border>
    <border>
      <left style="thin">
        <color rgb="FFA6A6A6"/>
      </left>
      <right style="thin">
        <color rgb="FFA6A6A6"/>
      </right>
      <top/>
      <bottom/>
      <diagonal/>
    </border>
  </borders>
  <cellStyleXfs count="5">
    <xf numFmtId="0" fontId="0" fillId="0" borderId="0"/>
    <xf numFmtId="9" fontId="4" fillId="0" borderId="0" applyFont="0" applyFill="0" applyBorder="0" applyAlignment="0" applyProtection="0"/>
    <xf numFmtId="0" fontId="16" fillId="5" borderId="8" applyNumberFormat="0">
      <alignment horizontal="right" vertical="center" indent="1"/>
    </xf>
    <xf numFmtId="0" fontId="18" fillId="6" borderId="8">
      <alignment horizontal="center" vertical="center" wrapText="1"/>
    </xf>
    <xf numFmtId="0" fontId="16" fillId="7" borderId="8" applyNumberFormat="0">
      <alignment horizontal="right" vertical="center" indent="1"/>
    </xf>
  </cellStyleXfs>
  <cellXfs count="187">
    <xf numFmtId="0" fontId="0" fillId="0" borderId="0" xfId="0"/>
    <xf numFmtId="0" fontId="2" fillId="0" borderId="0" xfId="0" applyFont="1" applyAlignment="1">
      <alignment horizontal="center"/>
    </xf>
    <xf numFmtId="0" fontId="2" fillId="0" borderId="0" xfId="0" applyFont="1"/>
    <xf numFmtId="3" fontId="2" fillId="0" borderId="0" xfId="0" applyNumberFormat="1" applyFont="1" applyAlignment="1">
      <alignment horizontal="center"/>
    </xf>
    <xf numFmtId="3" fontId="2" fillId="0" borderId="0" xfId="0" applyNumberFormat="1" applyFont="1"/>
    <xf numFmtId="4" fontId="2" fillId="0" borderId="0" xfId="0" applyNumberFormat="1" applyFont="1" applyAlignment="1">
      <alignment horizontal="right"/>
    </xf>
    <xf numFmtId="3" fontId="2" fillId="0" borderId="1" xfId="0" applyNumberFormat="1" applyFont="1" applyBorder="1" applyAlignment="1">
      <alignment horizontal="center"/>
    </xf>
    <xf numFmtId="4" fontId="2" fillId="0" borderId="1" xfId="0" applyNumberFormat="1" applyFont="1" applyBorder="1" applyAlignment="1">
      <alignment horizontal="right"/>
    </xf>
    <xf numFmtId="0" fontId="2" fillId="0" borderId="1" xfId="0" applyFont="1" applyBorder="1" applyAlignment="1">
      <alignment horizontal="center"/>
    </xf>
    <xf numFmtId="3" fontId="0" fillId="0" borderId="0" xfId="0" applyNumberFormat="1"/>
    <xf numFmtId="165" fontId="2" fillId="0" borderId="0" xfId="0" applyNumberFormat="1" applyFont="1" applyAlignment="1">
      <alignment horizontal="center"/>
    </xf>
    <xf numFmtId="9" fontId="0" fillId="0" borderId="0" xfId="1" applyFont="1"/>
    <xf numFmtId="3" fontId="2" fillId="0" borderId="3" xfId="0" applyNumberFormat="1" applyFont="1" applyBorder="1" applyAlignment="1">
      <alignment horizontal="center"/>
    </xf>
    <xf numFmtId="0" fontId="2" fillId="0" borderId="0" xfId="0" applyFont="1" applyAlignment="1">
      <alignment vertical="center"/>
    </xf>
    <xf numFmtId="0" fontId="2" fillId="2" borderId="0" xfId="0" applyFont="1" applyFill="1"/>
    <xf numFmtId="0" fontId="5" fillId="0" borderId="1" xfId="0" applyFont="1" applyBorder="1" applyAlignment="1">
      <alignment horizontal="center" vertical="center"/>
    </xf>
    <xf numFmtId="164" fontId="5" fillId="0" borderId="1" xfId="0" applyNumberFormat="1" applyFont="1" applyBorder="1" applyAlignment="1">
      <alignment horizontal="right"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6" fillId="0" borderId="0" xfId="0" applyFont="1"/>
    <xf numFmtId="0" fontId="5" fillId="0" borderId="0" xfId="0" applyFont="1" applyAlignment="1">
      <alignment vertical="center"/>
    </xf>
    <xf numFmtId="9" fontId="2" fillId="0" borderId="0" xfId="1" applyFont="1"/>
    <xf numFmtId="4" fontId="2" fillId="0" borderId="0" xfId="0" applyNumberFormat="1" applyFont="1"/>
    <xf numFmtId="0" fontId="5" fillId="0" borderId="0" xfId="0" applyFont="1"/>
    <xf numFmtId="3" fontId="1" fillId="0" borderId="0" xfId="0" applyNumberFormat="1" applyFont="1"/>
    <xf numFmtId="4" fontId="1" fillId="0" borderId="0" xfId="0" applyNumberFormat="1" applyFont="1"/>
    <xf numFmtId="4" fontId="1" fillId="0" borderId="0" xfId="0" applyNumberFormat="1" applyFont="1" applyAlignment="1">
      <alignment horizontal="center"/>
    </xf>
    <xf numFmtId="0" fontId="0" fillId="2" borderId="0" xfId="0" applyFill="1"/>
    <xf numFmtId="3" fontId="0" fillId="2" borderId="0" xfId="0" applyNumberFormat="1" applyFill="1"/>
    <xf numFmtId="0" fontId="7" fillId="2" borderId="0" xfId="0" applyFont="1" applyFill="1"/>
    <xf numFmtId="0" fontId="8" fillId="2" borderId="0" xfId="0" applyFont="1" applyFill="1"/>
    <xf numFmtId="0" fontId="8" fillId="2" borderId="0" xfId="0" applyFont="1" applyFill="1" applyAlignment="1">
      <alignment vertical="center"/>
    </xf>
    <xf numFmtId="0" fontId="7" fillId="2" borderId="0" xfId="0" applyFont="1" applyFill="1" applyAlignment="1">
      <alignment horizontal="center" vertical="top" wrapText="1"/>
    </xf>
    <xf numFmtId="0" fontId="8" fillId="2" borderId="0" xfId="0" applyFont="1" applyFill="1" applyAlignment="1">
      <alignment vertical="top" wrapText="1"/>
    </xf>
    <xf numFmtId="0" fontId="12" fillId="4" borderId="0" xfId="0" applyFont="1" applyFill="1" applyAlignment="1">
      <alignment vertical="center" wrapText="1"/>
    </xf>
    <xf numFmtId="0" fontId="7" fillId="4" borderId="0" xfId="0" applyFont="1" applyFill="1" applyAlignment="1">
      <alignment horizontal="center" vertical="top" wrapText="1"/>
    </xf>
    <xf numFmtId="0" fontId="10" fillId="2" borderId="0" xfId="0" applyFont="1" applyFill="1" applyAlignment="1">
      <alignment horizontal="left" vertical="top" wrapText="1"/>
    </xf>
    <xf numFmtId="0" fontId="10" fillId="2" borderId="0" xfId="0" applyFont="1" applyFill="1" applyAlignment="1">
      <alignment vertical="top" wrapText="1"/>
    </xf>
    <xf numFmtId="0" fontId="9" fillId="4" borderId="0" xfId="0" applyFont="1" applyFill="1" applyAlignment="1">
      <alignment horizontal="center" vertical="top"/>
    </xf>
    <xf numFmtId="0" fontId="7" fillId="4" borderId="0" xfId="0" applyFont="1" applyFill="1" applyAlignment="1">
      <alignment horizontal="center" vertical="top"/>
    </xf>
    <xf numFmtId="0" fontId="7" fillId="2" borderId="0" xfId="0" applyFont="1" applyFill="1" applyAlignment="1">
      <alignment horizontal="center" vertical="top"/>
    </xf>
    <xf numFmtId="0" fontId="13" fillId="4" borderId="0" xfId="0" applyFont="1" applyFill="1" applyAlignment="1">
      <alignment horizontal="left" vertical="center" wrapText="1"/>
    </xf>
    <xf numFmtId="0" fontId="13" fillId="4" borderId="0" xfId="0" applyFont="1" applyFill="1" applyAlignment="1">
      <alignment vertical="center" wrapText="1"/>
    </xf>
    <xf numFmtId="0" fontId="13" fillId="4" borderId="0" xfId="0" applyFont="1" applyFill="1" applyAlignment="1">
      <alignment horizontal="left" vertical="center"/>
    </xf>
    <xf numFmtId="0" fontId="13" fillId="4" borderId="0" xfId="0" applyFont="1" applyFill="1" applyAlignment="1">
      <alignment vertical="center"/>
    </xf>
    <xf numFmtId="10" fontId="2" fillId="0" borderId="0" xfId="0" applyNumberFormat="1" applyFont="1"/>
    <xf numFmtId="169" fontId="2" fillId="0" borderId="0" xfId="0" applyNumberFormat="1" applyFont="1"/>
    <xf numFmtId="165" fontId="3" fillId="0" borderId="0" xfId="0" applyNumberFormat="1" applyFont="1" applyFill="1" applyAlignment="1">
      <alignment horizontal="center"/>
    </xf>
    <xf numFmtId="0" fontId="1" fillId="0" borderId="0" xfId="0" applyFont="1" applyFill="1" applyAlignment="1">
      <alignment horizontal="center" vertical="center" wrapText="1"/>
    </xf>
    <xf numFmtId="165" fontId="2" fillId="0" borderId="0" xfId="0" applyNumberFormat="1" applyFont="1" applyFill="1" applyAlignment="1">
      <alignment horizontal="center"/>
    </xf>
    <xf numFmtId="3" fontId="2" fillId="0" borderId="3" xfId="0" applyNumberFormat="1" applyFont="1" applyFill="1" applyBorder="1" applyAlignment="1">
      <alignment horizontal="center"/>
    </xf>
    <xf numFmtId="3" fontId="2" fillId="0" borderId="0" xfId="0" applyNumberFormat="1" applyFont="1" applyFill="1"/>
    <xf numFmtId="3" fontId="1" fillId="0" borderId="0" xfId="0" applyNumberFormat="1" applyFont="1" applyFill="1"/>
    <xf numFmtId="164" fontId="1" fillId="0" borderId="1" xfId="0" applyNumberFormat="1" applyFont="1" applyFill="1" applyBorder="1" applyAlignment="1">
      <alignment horizontal="right" vertical="center"/>
    </xf>
    <xf numFmtId="0" fontId="1" fillId="0" borderId="1" xfId="0" applyFont="1" applyFill="1" applyBorder="1" applyAlignment="1">
      <alignment horizontal="right" vertical="center" wrapText="1"/>
    </xf>
    <xf numFmtId="0" fontId="2" fillId="0" borderId="0" xfId="0" applyFont="1" applyFill="1"/>
    <xf numFmtId="164" fontId="1" fillId="0" borderId="1" xfId="0" applyNumberFormat="1" applyFont="1" applyFill="1" applyBorder="1" applyAlignment="1">
      <alignment horizontal="right" vertical="center" wrapText="1"/>
    </xf>
    <xf numFmtId="9" fontId="2" fillId="0" borderId="0" xfId="1" applyFont="1" applyFill="1"/>
    <xf numFmtId="3" fontId="1" fillId="0" borderId="1" xfId="0" applyNumberFormat="1" applyFont="1" applyFill="1" applyBorder="1" applyAlignment="1">
      <alignment horizontal="right" vertical="center"/>
    </xf>
    <xf numFmtId="0" fontId="1" fillId="0" borderId="1" xfId="0" applyFont="1" applyFill="1" applyBorder="1" applyAlignment="1">
      <alignment horizontal="right" vertical="center"/>
    </xf>
    <xf numFmtId="164" fontId="5" fillId="0" borderId="1" xfId="0" applyNumberFormat="1" applyFont="1" applyFill="1" applyBorder="1" applyAlignment="1">
      <alignment horizontal="right" vertical="center"/>
    </xf>
    <xf numFmtId="0" fontId="5" fillId="0" borderId="0" xfId="0" applyFont="1" applyFill="1"/>
    <xf numFmtId="9" fontId="5" fillId="0" borderId="0" xfId="1" applyFont="1" applyFill="1"/>
    <xf numFmtId="3" fontId="2" fillId="0" borderId="0" xfId="0" applyNumberFormat="1" applyFont="1" applyFill="1" applyAlignment="1">
      <alignment horizontal="right"/>
    </xf>
    <xf numFmtId="3" fontId="3" fillId="0" borderId="0" xfId="0" applyNumberFormat="1" applyFont="1" applyFill="1"/>
    <xf numFmtId="9" fontId="2" fillId="0" borderId="0" xfId="0" applyNumberFormat="1" applyFont="1" applyFill="1"/>
    <xf numFmtId="3" fontId="2" fillId="0" borderId="1" xfId="0" applyNumberFormat="1" applyFont="1" applyFill="1" applyBorder="1" applyAlignment="1">
      <alignment horizontal="right"/>
    </xf>
    <xf numFmtId="3" fontId="2" fillId="0" borderId="1" xfId="0" applyNumberFormat="1" applyFont="1" applyFill="1" applyBorder="1"/>
    <xf numFmtId="3" fontId="3" fillId="0" borderId="1" xfId="0" applyNumberFormat="1" applyFont="1" applyFill="1" applyBorder="1"/>
    <xf numFmtId="9" fontId="2" fillId="0" borderId="1" xfId="0" applyNumberFormat="1" applyFont="1" applyFill="1" applyBorder="1"/>
    <xf numFmtId="0" fontId="0" fillId="0" borderId="0" xfId="0" applyFill="1"/>
    <xf numFmtId="3" fontId="2" fillId="0" borderId="1" xfId="0" applyNumberFormat="1" applyFont="1" applyFill="1" applyBorder="1" applyAlignment="1">
      <alignment horizontal="center"/>
    </xf>
    <xf numFmtId="10" fontId="1" fillId="0" borderId="0" xfId="0" applyNumberFormat="1" applyFont="1" applyFill="1"/>
    <xf numFmtId="10" fontId="14" fillId="0" borderId="0" xfId="0" applyNumberFormat="1" applyFont="1" applyFill="1"/>
    <xf numFmtId="167" fontId="1" fillId="0" borderId="0" xfId="0" applyNumberFormat="1" applyFont="1" applyFill="1"/>
    <xf numFmtId="9" fontId="0" fillId="0" borderId="0" xfId="1" applyFont="1" applyFill="1"/>
    <xf numFmtId="3" fontId="1" fillId="0" borderId="6" xfId="0" applyNumberFormat="1" applyFont="1" applyFill="1" applyBorder="1" applyAlignment="1">
      <alignment horizontal="right" vertical="center" wrapText="1"/>
    </xf>
    <xf numFmtId="0" fontId="2" fillId="0" borderId="7" xfId="0" applyFont="1" applyFill="1" applyBorder="1"/>
    <xf numFmtId="164" fontId="1" fillId="0" borderId="1" xfId="0" applyNumberFormat="1" applyFont="1" applyBorder="1" applyAlignment="1">
      <alignment horizontal="right" vertical="center" wrapText="1"/>
    </xf>
    <xf numFmtId="4" fontId="2" fillId="0" borderId="7" xfId="0" applyNumberFormat="1" applyFont="1" applyBorder="1" applyAlignment="1">
      <alignment horizontal="right"/>
    </xf>
    <xf numFmtId="168" fontId="1" fillId="0" borderId="0" xfId="0" applyNumberFormat="1" applyFont="1" applyAlignment="1">
      <alignment horizontal="center"/>
    </xf>
    <xf numFmtId="168" fontId="1" fillId="0" borderId="0" xfId="0" applyNumberFormat="1" applyFont="1" applyFill="1" applyAlignment="1">
      <alignment horizontal="center"/>
    </xf>
    <xf numFmtId="164" fontId="1" fillId="0" borderId="1" xfId="0" applyNumberFormat="1" applyFont="1" applyBorder="1" applyAlignment="1">
      <alignment horizontal="center" vertical="center" wrapText="1"/>
    </xf>
    <xf numFmtId="164" fontId="5" fillId="0" borderId="7" xfId="0" applyNumberFormat="1" applyFont="1" applyBorder="1" applyAlignment="1">
      <alignment horizontal="center" vertical="center"/>
    </xf>
    <xf numFmtId="4" fontId="2" fillId="0" borderId="0" xfId="0" applyNumberFormat="1" applyFont="1" applyAlignment="1">
      <alignment horizontal="center"/>
    </xf>
    <xf numFmtId="4" fontId="2" fillId="0" borderId="7" xfId="0" applyNumberFormat="1" applyFont="1" applyBorder="1" applyAlignment="1">
      <alignment horizontal="center"/>
    </xf>
    <xf numFmtId="0" fontId="1" fillId="0" borderId="3" xfId="0" applyFont="1" applyFill="1" applyBorder="1" applyAlignment="1">
      <alignment horizontal="center" vertical="center"/>
    </xf>
    <xf numFmtId="170" fontId="2" fillId="0" borderId="0" xfId="0" applyNumberFormat="1" applyFont="1" applyAlignment="1">
      <alignment horizontal="right"/>
    </xf>
    <xf numFmtId="0" fontId="1" fillId="0" borderId="0" xfId="0" applyFont="1" applyAlignment="1">
      <alignment horizontal="center" vertical="center" wrapText="1"/>
    </xf>
    <xf numFmtId="3" fontId="0" fillId="0" borderId="0" xfId="0" applyNumberFormat="1" applyFill="1"/>
    <xf numFmtId="3" fontId="2" fillId="0" borderId="7" xfId="0" applyNumberFormat="1" applyFont="1" applyFill="1" applyBorder="1" applyAlignment="1">
      <alignment horizontal="center"/>
    </xf>
    <xf numFmtId="0" fontId="1" fillId="0" borderId="7" xfId="0" applyFont="1" applyBorder="1" applyAlignment="1">
      <alignment horizontal="center" vertical="center" wrapText="1"/>
    </xf>
    <xf numFmtId="0" fontId="1" fillId="0" borderId="7" xfId="0" applyFont="1" applyFill="1" applyBorder="1" applyAlignment="1">
      <alignment horizontal="center" vertical="center" wrapText="1"/>
    </xf>
    <xf numFmtId="167" fontId="2" fillId="0" borderId="0" xfId="0" applyNumberFormat="1" applyFont="1" applyFill="1"/>
    <xf numFmtId="167" fontId="3" fillId="0" borderId="0" xfId="0" applyNumberFormat="1" applyFont="1" applyFill="1" applyAlignment="1">
      <alignment horizontal="center"/>
    </xf>
    <xf numFmtId="167" fontId="1" fillId="0" borderId="0" xfId="0" applyNumberFormat="1" applyFont="1" applyAlignment="1">
      <alignment horizontal="center"/>
    </xf>
    <xf numFmtId="0" fontId="15" fillId="0" borderId="0" xfId="0" applyFont="1" applyAlignment="1">
      <alignment horizontal="center"/>
    </xf>
    <xf numFmtId="9" fontId="1" fillId="0" borderId="5" xfId="0" applyNumberFormat="1" applyFont="1" applyBorder="1" applyAlignment="1">
      <alignment horizontal="center"/>
    </xf>
    <xf numFmtId="166" fontId="1" fillId="3" borderId="5" xfId="0" applyNumberFormat="1" applyFont="1" applyFill="1" applyBorder="1" applyAlignment="1">
      <alignment horizontal="center"/>
    </xf>
    <xf numFmtId="0" fontId="17" fillId="2" borderId="0" xfId="0" applyFont="1" applyFill="1"/>
    <xf numFmtId="0" fontId="19" fillId="8" borderId="8" xfId="3" applyFont="1" applyFill="1">
      <alignment horizontal="center" vertical="center" wrapText="1"/>
    </xf>
    <xf numFmtId="9" fontId="1" fillId="3" borderId="5" xfId="0" applyNumberFormat="1" applyFont="1" applyFill="1" applyBorder="1" applyAlignment="1">
      <alignment horizontal="center"/>
    </xf>
    <xf numFmtId="10" fontId="1" fillId="3" borderId="5" xfId="0" applyNumberFormat="1" applyFont="1" applyFill="1" applyBorder="1" applyAlignment="1">
      <alignment horizontal="center"/>
    </xf>
    <xf numFmtId="10" fontId="1" fillId="0" borderId="5" xfId="0" applyNumberFormat="1" applyFont="1" applyBorder="1" applyAlignment="1">
      <alignment horizontal="center"/>
    </xf>
    <xf numFmtId="3" fontId="1" fillId="3" borderId="5" xfId="0" applyNumberFormat="1" applyFont="1" applyFill="1" applyBorder="1" applyAlignment="1">
      <alignment horizontal="center"/>
    </xf>
    <xf numFmtId="10" fontId="1" fillId="3" borderId="5" xfId="0" applyNumberFormat="1" applyFont="1" applyFill="1" applyBorder="1" applyAlignment="1">
      <alignment horizontal="center"/>
    </xf>
    <xf numFmtId="0" fontId="0" fillId="0" borderId="0" xfId="0" applyAlignment="1">
      <alignment horizontal="center"/>
    </xf>
    <xf numFmtId="0" fontId="1" fillId="0" borderId="0" xfId="0" applyFont="1" applyAlignment="1">
      <alignment horizontal="center"/>
    </xf>
    <xf numFmtId="0" fontId="1" fillId="0" borderId="0" xfId="0" applyFont="1" applyBorder="1" applyAlignment="1">
      <alignment vertical="center"/>
    </xf>
    <xf numFmtId="0" fontId="0" fillId="0" borderId="0" xfId="0" applyBorder="1"/>
    <xf numFmtId="3" fontId="21" fillId="0" borderId="0" xfId="0" applyNumberFormat="1" applyFont="1"/>
    <xf numFmtId="10" fontId="1" fillId="0" borderId="5" xfId="0" applyNumberFormat="1" applyFont="1" applyFill="1" applyBorder="1" applyAlignment="1">
      <alignment horizontal="center"/>
    </xf>
    <xf numFmtId="4" fontId="2" fillId="0" borderId="0" xfId="0" applyNumberFormat="1" applyFont="1" applyFill="1" applyAlignment="1">
      <alignment horizontal="center"/>
    </xf>
    <xf numFmtId="4" fontId="2" fillId="0" borderId="7" xfId="0" applyNumberFormat="1" applyFont="1" applyFill="1" applyBorder="1" applyAlignment="1">
      <alignment horizontal="center"/>
    </xf>
    <xf numFmtId="10" fontId="2" fillId="0" borderId="0" xfId="0" applyNumberFormat="1" applyFont="1" applyFill="1"/>
    <xf numFmtId="169" fontId="2" fillId="0" borderId="0" xfId="0" applyNumberFormat="1" applyFont="1" applyFill="1"/>
    <xf numFmtId="166" fontId="2" fillId="0" borderId="5" xfId="0" applyNumberFormat="1" applyFont="1" applyFill="1" applyBorder="1" applyAlignment="1">
      <alignment horizontal="center"/>
    </xf>
    <xf numFmtId="0" fontId="2" fillId="0" borderId="0" xfId="0" applyFont="1" applyFill="1" applyAlignment="1">
      <alignment horizontal="center"/>
    </xf>
    <xf numFmtId="3" fontId="2" fillId="0" borderId="0" xfId="0" applyNumberFormat="1" applyFont="1" applyFill="1" applyAlignment="1">
      <alignment horizontal="center"/>
    </xf>
    <xf numFmtId="0" fontId="2" fillId="0" borderId="0" xfId="0" applyFont="1" applyFill="1" applyAlignment="1">
      <alignment vertical="center"/>
    </xf>
    <xf numFmtId="0" fontId="5" fillId="0" borderId="1" xfId="0" applyFont="1" applyFill="1" applyBorder="1" applyAlignment="1">
      <alignment horizontal="center" vertical="center"/>
    </xf>
    <xf numFmtId="0" fontId="2" fillId="0" borderId="1" xfId="0" applyFont="1" applyFill="1" applyBorder="1" applyAlignment="1">
      <alignment horizontal="center"/>
    </xf>
    <xf numFmtId="4" fontId="2" fillId="0" borderId="1" xfId="0" applyNumberFormat="1" applyFont="1" applyFill="1" applyBorder="1" applyAlignment="1">
      <alignment horizontal="right"/>
    </xf>
    <xf numFmtId="0" fontId="0" fillId="0" borderId="0" xfId="0" applyFill="1" applyAlignment="1">
      <alignment horizontal="right"/>
    </xf>
    <xf numFmtId="9" fontId="21" fillId="0" borderId="0" xfId="0" applyNumberFormat="1" applyFont="1"/>
    <xf numFmtId="9" fontId="2" fillId="0" borderId="0" xfId="0" applyNumberFormat="1" applyFont="1"/>
    <xf numFmtId="171" fontId="2" fillId="0" borderId="0" xfId="0" applyNumberFormat="1" applyFont="1"/>
    <xf numFmtId="3" fontId="22" fillId="0" borderId="0" xfId="0" applyNumberFormat="1" applyFont="1"/>
    <xf numFmtId="3" fontId="2" fillId="0" borderId="0" xfId="1" applyNumberFormat="1" applyFont="1" applyFill="1"/>
    <xf numFmtId="0" fontId="6" fillId="0" borderId="0" xfId="0" applyFont="1" applyFill="1"/>
    <xf numFmtId="10" fontId="1" fillId="0" borderId="5" xfId="0" applyNumberFormat="1" applyFont="1" applyBorder="1" applyAlignment="1">
      <alignment horizontal="center"/>
    </xf>
    <xf numFmtId="9" fontId="1" fillId="3" borderId="5" xfId="0" applyNumberFormat="1" applyFont="1" applyFill="1" applyBorder="1" applyAlignment="1">
      <alignment horizontal="center"/>
    </xf>
    <xf numFmtId="3" fontId="1" fillId="3" borderId="5" xfId="0" applyNumberFormat="1" applyFont="1" applyFill="1" applyBorder="1" applyAlignment="1">
      <alignment horizontal="center"/>
    </xf>
    <xf numFmtId="10" fontId="1" fillId="3" borderId="5" xfId="0" applyNumberFormat="1" applyFont="1" applyFill="1" applyBorder="1" applyAlignment="1">
      <alignment horizontal="center"/>
    </xf>
    <xf numFmtId="0" fontId="1" fillId="0" borderId="3" xfId="0" applyFont="1" applyFill="1" applyBorder="1" applyAlignment="1">
      <alignment horizontal="center" vertical="center"/>
    </xf>
    <xf numFmtId="4" fontId="1" fillId="0" borderId="0" xfId="0" applyNumberFormat="1" applyFont="1" applyFill="1"/>
    <xf numFmtId="167" fontId="3" fillId="0" borderId="0" xfId="0" applyNumberFormat="1" applyFont="1" applyAlignment="1">
      <alignment horizontal="center"/>
    </xf>
    <xf numFmtId="3" fontId="2" fillId="0" borderId="7" xfId="0" applyNumberFormat="1" applyFont="1" applyBorder="1" applyAlignment="1">
      <alignment horizontal="center"/>
    </xf>
    <xf numFmtId="172" fontId="1" fillId="3" borderId="5" xfId="0" applyNumberFormat="1" applyFont="1" applyFill="1" applyBorder="1" applyAlignment="1">
      <alignment horizontal="center"/>
    </xf>
    <xf numFmtId="166" fontId="2" fillId="0" borderId="5" xfId="0" applyNumberFormat="1" applyFont="1" applyBorder="1" applyAlignment="1">
      <alignment horizontal="center"/>
    </xf>
    <xf numFmtId="0" fontId="1" fillId="0" borderId="0" xfId="0" applyFont="1" applyAlignment="1">
      <alignment horizontal="center" vertical="top"/>
    </xf>
    <xf numFmtId="49" fontId="2" fillId="0" borderId="0" xfId="0" applyNumberFormat="1" applyFont="1" applyAlignment="1">
      <alignment horizontal="left" indent="2"/>
    </xf>
    <xf numFmtId="49" fontId="2" fillId="0" borderId="0" xfId="0" applyNumberFormat="1" applyFont="1"/>
    <xf numFmtId="164" fontId="5" fillId="0" borderId="1" xfId="0" applyNumberFormat="1" applyFont="1" applyFill="1" applyBorder="1" applyAlignment="1">
      <alignment horizontal="center" vertical="center"/>
    </xf>
    <xf numFmtId="0" fontId="24" fillId="0" borderId="0" xfId="0" applyFont="1" applyBorder="1" applyAlignment="1">
      <alignment vertical="center"/>
    </xf>
    <xf numFmtId="0" fontId="24" fillId="0" borderId="0" xfId="0" applyFont="1" applyFill="1" applyBorder="1" applyAlignment="1">
      <alignment vertical="center"/>
    </xf>
    <xf numFmtId="0" fontId="1" fillId="0" borderId="4" xfId="0" applyFont="1" applyBorder="1" applyAlignment="1">
      <alignment horizontal="center" vertical="center"/>
    </xf>
    <xf numFmtId="0" fontId="1" fillId="0" borderId="4" xfId="0" applyFont="1" applyFill="1" applyBorder="1" applyAlignment="1">
      <alignment horizontal="center" vertical="center"/>
    </xf>
    <xf numFmtId="0" fontId="5" fillId="0" borderId="1" xfId="0" applyFont="1" applyFill="1" applyBorder="1" applyAlignment="1">
      <alignment horizontal="right" vertical="center"/>
    </xf>
    <xf numFmtId="3" fontId="21" fillId="0" borderId="0" xfId="0" applyNumberFormat="1" applyFont="1" applyBorder="1"/>
    <xf numFmtId="164" fontId="5" fillId="0" borderId="0" xfId="0" applyNumberFormat="1" applyFont="1" applyBorder="1" applyAlignment="1">
      <alignment horizontal="right" vertical="center"/>
    </xf>
    <xf numFmtId="0" fontId="8" fillId="4" borderId="0" xfId="0" applyFont="1" applyFill="1"/>
    <xf numFmtId="0" fontId="2" fillId="4" borderId="0" xfId="0" applyFont="1" applyFill="1"/>
    <xf numFmtId="0" fontId="1" fillId="0" borderId="0" xfId="0" applyFont="1" applyFill="1" applyAlignment="1">
      <alignment horizontal="right"/>
    </xf>
    <xf numFmtId="4" fontId="2" fillId="4" borderId="0" xfId="0" applyNumberFormat="1" applyFont="1" applyFill="1" applyAlignment="1">
      <alignment horizontal="center"/>
    </xf>
    <xf numFmtId="165" fontId="3" fillId="4" borderId="0" xfId="0" applyNumberFormat="1" applyFont="1" applyFill="1" applyAlignment="1">
      <alignment horizontal="center"/>
    </xf>
    <xf numFmtId="167" fontId="3" fillId="4" borderId="0" xfId="0" applyNumberFormat="1" applyFont="1" applyFill="1" applyAlignment="1">
      <alignment horizontal="center"/>
    </xf>
    <xf numFmtId="0" fontId="20" fillId="3" borderId="11" xfId="4" applyFont="1" applyFill="1" applyBorder="1" applyAlignment="1">
      <alignment horizontal="center" vertical="center" wrapText="1"/>
    </xf>
    <xf numFmtId="0" fontId="1" fillId="2" borderId="0" xfId="0" applyFont="1" applyFill="1" applyAlignment="1">
      <alignment horizontal="center"/>
    </xf>
    <xf numFmtId="0" fontId="2" fillId="2" borderId="0" xfId="0" applyFont="1" applyFill="1" applyAlignment="1">
      <alignment horizontal="center"/>
    </xf>
    <xf numFmtId="0" fontId="1" fillId="2" borderId="0" xfId="0" applyFont="1" applyFill="1"/>
    <xf numFmtId="0" fontId="1" fillId="0" borderId="2" xfId="0" applyFont="1" applyFill="1" applyBorder="1" applyAlignment="1">
      <alignment horizontal="right" vertical="center"/>
    </xf>
    <xf numFmtId="0" fontId="20" fillId="3" borderId="12" xfId="4" applyFont="1" applyFill="1" applyBorder="1" applyAlignment="1">
      <alignment horizontal="center" vertical="center" wrapText="1"/>
    </xf>
    <xf numFmtId="49" fontId="25" fillId="4" borderId="8" xfId="4" applyNumberFormat="1" applyFont="1" applyFill="1" applyBorder="1" applyAlignment="1">
      <alignment horizontal="left" vertical="center" wrapText="1" indent="1"/>
    </xf>
    <xf numFmtId="49" fontId="25" fillId="4" borderId="9" xfId="4" applyNumberFormat="1" applyFont="1" applyFill="1" applyBorder="1" applyAlignment="1">
      <alignment horizontal="left" vertical="center" wrapText="1" indent="1"/>
    </xf>
    <xf numFmtId="49" fontId="25" fillId="4" borderId="10" xfId="4" applyNumberFormat="1" applyFont="1" applyFill="1" applyBorder="1" applyAlignment="1">
      <alignment horizontal="left" vertical="center" wrapText="1" indent="1"/>
    </xf>
    <xf numFmtId="49" fontId="25" fillId="4" borderId="12" xfId="4" applyNumberFormat="1" applyFont="1" applyFill="1" applyBorder="1" applyAlignment="1">
      <alignment horizontal="left" vertical="center" wrapText="1" indent="1"/>
    </xf>
    <xf numFmtId="49" fontId="25" fillId="4" borderId="11" xfId="4" applyNumberFormat="1" applyFont="1" applyFill="1" applyBorder="1" applyAlignment="1">
      <alignment horizontal="left" vertical="center" wrapText="1" indent="1"/>
    </xf>
    <xf numFmtId="49" fontId="25" fillId="4" borderId="8" xfId="4" applyNumberFormat="1" applyFont="1" applyFill="1" applyAlignment="1">
      <alignment horizontal="left" vertical="center" wrapText="1" indent="1"/>
    </xf>
    <xf numFmtId="49" fontId="25" fillId="4" borderId="15" xfId="4" applyNumberFormat="1" applyFont="1" applyFill="1" applyBorder="1" applyAlignment="1">
      <alignment horizontal="left" vertical="center" wrapText="1" indent="1"/>
    </xf>
    <xf numFmtId="0" fontId="1" fillId="0" borderId="3" xfId="0" applyFont="1" applyBorder="1" applyAlignment="1">
      <alignment horizontal="center"/>
    </xf>
    <xf numFmtId="0" fontId="1" fillId="0" borderId="1" xfId="0" applyFont="1" applyBorder="1" applyAlignment="1">
      <alignment horizontal="center" vertical="center"/>
    </xf>
    <xf numFmtId="0" fontId="1" fillId="0" borderId="1" xfId="0" applyFont="1" applyFill="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Border="1" applyAlignment="1">
      <alignment horizontal="center"/>
    </xf>
    <xf numFmtId="0" fontId="1" fillId="0" borderId="3" xfId="0" applyFont="1" applyFill="1" applyBorder="1" applyAlignment="1">
      <alignment horizontal="center" vertical="center"/>
    </xf>
    <xf numFmtId="0" fontId="1" fillId="0" borderId="2" xfId="0" applyFont="1" applyFill="1" applyBorder="1" applyAlignment="1">
      <alignment horizontal="center" vertical="center"/>
    </xf>
    <xf numFmtId="0" fontId="20" fillId="3" borderId="12" xfId="4" applyFont="1" applyFill="1" applyBorder="1" applyAlignment="1">
      <alignment horizontal="center" vertical="center" wrapText="1"/>
    </xf>
    <xf numFmtId="0" fontId="20" fillId="3" borderId="8" xfId="4" applyFont="1" applyFill="1" applyBorder="1" applyAlignment="1">
      <alignment horizontal="center" vertical="center" wrapText="1"/>
    </xf>
    <xf numFmtId="0" fontId="20" fillId="3" borderId="9" xfId="4" applyFont="1" applyFill="1" applyBorder="1" applyAlignment="1">
      <alignment horizontal="center" vertical="center" wrapText="1"/>
    </xf>
    <xf numFmtId="0" fontId="20" fillId="3" borderId="10" xfId="4" applyFont="1" applyFill="1" applyBorder="1" applyAlignment="1">
      <alignment horizontal="center" vertical="center" wrapText="1"/>
    </xf>
    <xf numFmtId="0" fontId="20" fillId="3" borderId="13" xfId="4" applyFont="1" applyFill="1" applyBorder="1" applyAlignment="1">
      <alignment horizontal="center" vertical="center" wrapText="1"/>
    </xf>
    <xf numFmtId="0" fontId="20" fillId="3" borderId="16" xfId="4" applyFont="1" applyFill="1" applyBorder="1" applyAlignment="1">
      <alignment horizontal="center" vertical="center" wrapText="1"/>
    </xf>
    <xf numFmtId="0" fontId="20" fillId="3" borderId="14" xfId="4" applyFont="1" applyFill="1" applyBorder="1" applyAlignment="1">
      <alignment horizontal="center" vertical="center" wrapText="1"/>
    </xf>
    <xf numFmtId="0" fontId="10" fillId="2" borderId="0" xfId="0" applyFont="1" applyFill="1" applyAlignment="1">
      <alignment horizontal="left" vertical="top" wrapText="1"/>
    </xf>
    <xf numFmtId="0" fontId="7" fillId="2" borderId="0" xfId="0" applyFont="1" applyFill="1" applyAlignment="1">
      <alignment horizontal="center" vertical="top" wrapText="1"/>
    </xf>
  </cellXfs>
  <cellStyles count="5">
    <cellStyle name="Normal" xfId="0" builtinId="0"/>
    <cellStyle name="Percent" xfId="1" builtinId="5"/>
    <cellStyle name="SF_DATA_CELL" xfId="2" xr:uid="{B019F9BB-0BF9-46AA-BFC8-D66A580DD7C2}"/>
    <cellStyle name="SF_DATA_CELL_IGNORE" xfId="4" xr:uid="{94B15E38-3DF7-4599-8586-0510C3C7696F}"/>
    <cellStyle name="SF_TABLE_HEADER" xfId="3" xr:uid="{BBDD8F18-EA89-41BE-88CB-A5F7958607E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567147856517933E-2"/>
          <c:y val="6.2648147881641053E-2"/>
          <c:w val="0.85146062992125982"/>
          <c:h val="0.8567482316452425"/>
        </c:manualLayout>
      </c:layout>
      <c:scatterChart>
        <c:scatterStyle val="lineMarker"/>
        <c:varyColors val="0"/>
        <c:ser>
          <c:idx val="0"/>
          <c:order val="0"/>
          <c:tx>
            <c:v>PAA</c:v>
          </c:tx>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'2 years'!$C$97:$C$104</c:f>
              <c:numCache>
                <c:formatCode>#,##0</c:formatCode>
                <c:ptCount val="8"/>
                <c:pt idx="0">
                  <c:v>1</c:v>
                </c:pt>
                <c:pt idx="1">
                  <c:v>2</c:v>
                </c:pt>
                <c:pt idx="2">
                  <c:v>3</c:v>
                </c:pt>
                <c:pt idx="3">
                  <c:v>4</c:v>
                </c:pt>
                <c:pt idx="4">
                  <c:v>5</c:v>
                </c:pt>
                <c:pt idx="5">
                  <c:v>6</c:v>
                </c:pt>
                <c:pt idx="6">
                  <c:v>7</c:v>
                </c:pt>
                <c:pt idx="7">
                  <c:v>8</c:v>
                </c:pt>
              </c:numCache>
            </c:numRef>
          </c:xVal>
          <c:yVal>
            <c:numRef>
              <c:f>'2 years'!$Z$116:$Z$123</c:f>
              <c:numCache>
                <c:formatCode>#,##0</c:formatCode>
                <c:ptCount val="8"/>
                <c:pt idx="0">
                  <c:v>-1025216</c:v>
                </c:pt>
                <c:pt idx="1">
                  <c:v>-1149725</c:v>
                </c:pt>
                <c:pt idx="2">
                  <c:v>-1058082</c:v>
                </c:pt>
                <c:pt idx="3">
                  <c:v>1223110</c:v>
                </c:pt>
                <c:pt idx="4">
                  <c:v>908488</c:v>
                </c:pt>
                <c:pt idx="5">
                  <c:v>599845</c:v>
                </c:pt>
                <c:pt idx="6">
                  <c:v>297056</c:v>
                </c:pt>
                <c:pt idx="7">
                  <c:v>0</c:v>
                </c:pt>
              </c:numCache>
            </c:numRef>
          </c:yVal>
          <c:smooth val="0"/>
          <c:extLst>
            <c:ext xmlns:c16="http://schemas.microsoft.com/office/drawing/2014/chart" uri="{C3380CC4-5D6E-409C-BE32-E72D297353CC}">
              <c16:uniqueId val="{00000000-8F30-4171-B0C7-2806CB841180}"/>
            </c:ext>
          </c:extLst>
        </c:ser>
        <c:ser>
          <c:idx val="1"/>
          <c:order val="1"/>
          <c:tx>
            <c:v>GMM</c:v>
          </c:tx>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'2 years'!$C$97:$C$104</c:f>
              <c:numCache>
                <c:formatCode>#,##0</c:formatCode>
                <c:ptCount val="8"/>
                <c:pt idx="0">
                  <c:v>1</c:v>
                </c:pt>
                <c:pt idx="1">
                  <c:v>2</c:v>
                </c:pt>
                <c:pt idx="2">
                  <c:v>3</c:v>
                </c:pt>
                <c:pt idx="3">
                  <c:v>4</c:v>
                </c:pt>
                <c:pt idx="4">
                  <c:v>5</c:v>
                </c:pt>
                <c:pt idx="5">
                  <c:v>6</c:v>
                </c:pt>
                <c:pt idx="6">
                  <c:v>7</c:v>
                </c:pt>
                <c:pt idx="7">
                  <c:v>8</c:v>
                </c:pt>
              </c:numCache>
            </c:numRef>
          </c:xVal>
          <c:yVal>
            <c:numRef>
              <c:f>'2 years'!$AB$116:$AB$123</c:f>
              <c:numCache>
                <c:formatCode>#,##0</c:formatCode>
                <c:ptCount val="8"/>
                <c:pt idx="0">
                  <c:v>771325.51</c:v>
                </c:pt>
                <c:pt idx="1">
                  <c:v>647653.61</c:v>
                </c:pt>
                <c:pt idx="2">
                  <c:v>528785.18999999994</c:v>
                </c:pt>
                <c:pt idx="3">
                  <c:v>1223110.05</c:v>
                </c:pt>
                <c:pt idx="4">
                  <c:v>908488.05</c:v>
                </c:pt>
                <c:pt idx="5">
                  <c:v>599844.52</c:v>
                </c:pt>
                <c:pt idx="6">
                  <c:v>297055.65999999997</c:v>
                </c:pt>
                <c:pt idx="7">
                  <c:v>0</c:v>
                </c:pt>
              </c:numCache>
            </c:numRef>
          </c:yVal>
          <c:smooth val="0"/>
          <c:extLst>
            <c:ext xmlns:c16="http://schemas.microsoft.com/office/drawing/2014/chart" uri="{C3380CC4-5D6E-409C-BE32-E72D297353CC}">
              <c16:uniqueId val="{00000001-8F30-4171-B0C7-2806CB841180}"/>
            </c:ext>
          </c:extLst>
        </c:ser>
        <c:dLbls>
          <c:showLegendKey val="0"/>
          <c:showVal val="0"/>
          <c:showCatName val="0"/>
          <c:showSerName val="0"/>
          <c:showPercent val="0"/>
          <c:showBubbleSize val="0"/>
        </c:dLbls>
        <c:axId val="98179264"/>
        <c:axId val="98179840"/>
      </c:scatterChart>
      <c:valAx>
        <c:axId val="98179264"/>
        <c:scaling>
          <c:orientation val="minMax"/>
        </c:scaling>
        <c:delete val="0"/>
        <c:axPos val="b"/>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8179840"/>
        <c:crosses val="autoZero"/>
        <c:crossBetween val="midCat"/>
      </c:valAx>
      <c:valAx>
        <c:axId val="98179840"/>
        <c:scaling>
          <c:orientation val="minMax"/>
        </c:scaling>
        <c:delete val="0"/>
        <c:axPos val="l"/>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8179264"/>
        <c:crosses val="autoZero"/>
        <c:crossBetween val="midCat"/>
      </c:valAx>
      <c:spPr>
        <a:noFill/>
        <a:ln>
          <a:noFill/>
        </a:ln>
        <a:effectLst/>
      </c:spPr>
    </c:plotArea>
    <c:legend>
      <c:legendPos val="r"/>
      <c:layout>
        <c:manualLayout>
          <c:xMode val="edge"/>
          <c:yMode val="edge"/>
          <c:x val="0.82913085410310383"/>
          <c:y val="0.79374612651368004"/>
          <c:w val="0.10616166152927528"/>
          <c:h val="8.929634658885657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567147856517933E-2"/>
          <c:y val="6.2648147881641053E-2"/>
          <c:w val="0.85146062992125982"/>
          <c:h val="0.84698276440068021"/>
        </c:manualLayout>
      </c:layout>
      <c:scatterChart>
        <c:scatterStyle val="lineMarker"/>
        <c:varyColors val="0"/>
        <c:ser>
          <c:idx val="0"/>
          <c:order val="0"/>
          <c:tx>
            <c:v>CU distrib.</c:v>
          </c:tx>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'2 years'!$C$40:$C$47</c:f>
              <c:numCache>
                <c:formatCode>#,##0</c:formatCode>
                <c:ptCount val="8"/>
                <c:pt idx="0">
                  <c:v>1</c:v>
                </c:pt>
                <c:pt idx="1">
                  <c:v>2</c:v>
                </c:pt>
                <c:pt idx="2">
                  <c:v>3</c:v>
                </c:pt>
                <c:pt idx="3">
                  <c:v>4</c:v>
                </c:pt>
                <c:pt idx="4">
                  <c:v>5</c:v>
                </c:pt>
                <c:pt idx="5">
                  <c:v>6</c:v>
                </c:pt>
                <c:pt idx="6">
                  <c:v>7</c:v>
                </c:pt>
                <c:pt idx="7">
                  <c:v>8</c:v>
                </c:pt>
              </c:numCache>
            </c:numRef>
          </c:xVal>
          <c:yVal>
            <c:numRef>
              <c:f>'2 years'!$K$40:$K$47</c:f>
              <c:numCache>
                <c:formatCode>0.0%</c:formatCode>
                <c:ptCount val="8"/>
                <c:pt idx="0">
                  <c:v>0.125</c:v>
                </c:pt>
                <c:pt idx="1">
                  <c:v>0.125</c:v>
                </c:pt>
                <c:pt idx="2">
                  <c:v>0.125</c:v>
                </c:pt>
                <c:pt idx="3">
                  <c:v>0.125</c:v>
                </c:pt>
                <c:pt idx="4">
                  <c:v>0.125</c:v>
                </c:pt>
                <c:pt idx="5">
                  <c:v>0.125</c:v>
                </c:pt>
                <c:pt idx="6">
                  <c:v>0.125</c:v>
                </c:pt>
                <c:pt idx="7">
                  <c:v>0.125</c:v>
                </c:pt>
              </c:numCache>
            </c:numRef>
          </c:yVal>
          <c:smooth val="0"/>
          <c:extLst>
            <c:ext xmlns:c16="http://schemas.microsoft.com/office/drawing/2014/chart" uri="{C3380CC4-5D6E-409C-BE32-E72D297353CC}">
              <c16:uniqueId val="{00000000-748B-4B0E-B424-F747DCDBBF15}"/>
            </c:ext>
          </c:extLst>
        </c:ser>
        <c:ser>
          <c:idx val="1"/>
          <c:order val="1"/>
          <c:tx>
            <c:v>Risk distrib.</c:v>
          </c:tx>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'2 years'!$C$40:$C$47</c:f>
              <c:numCache>
                <c:formatCode>#,##0</c:formatCode>
                <c:ptCount val="8"/>
                <c:pt idx="0">
                  <c:v>1</c:v>
                </c:pt>
                <c:pt idx="1">
                  <c:v>2</c:v>
                </c:pt>
                <c:pt idx="2">
                  <c:v>3</c:v>
                </c:pt>
                <c:pt idx="3">
                  <c:v>4</c:v>
                </c:pt>
                <c:pt idx="4">
                  <c:v>5</c:v>
                </c:pt>
                <c:pt idx="5">
                  <c:v>6</c:v>
                </c:pt>
                <c:pt idx="6">
                  <c:v>7</c:v>
                </c:pt>
                <c:pt idx="7">
                  <c:v>8</c:v>
                </c:pt>
              </c:numCache>
            </c:numRef>
          </c:xVal>
          <c:yVal>
            <c:numRef>
              <c:f>'2 years'!$P$40:$P$47</c:f>
              <c:numCache>
                <c:formatCode>0.0%</c:formatCode>
                <c:ptCount val="8"/>
                <c:pt idx="0">
                  <c:v>0.125</c:v>
                </c:pt>
                <c:pt idx="1">
                  <c:v>0.125</c:v>
                </c:pt>
                <c:pt idx="2">
                  <c:v>0.125</c:v>
                </c:pt>
                <c:pt idx="3">
                  <c:v>0.125</c:v>
                </c:pt>
                <c:pt idx="4">
                  <c:v>0.125</c:v>
                </c:pt>
                <c:pt idx="5">
                  <c:v>0.125</c:v>
                </c:pt>
                <c:pt idx="6">
                  <c:v>0.125</c:v>
                </c:pt>
                <c:pt idx="7">
                  <c:v>0.125</c:v>
                </c:pt>
              </c:numCache>
            </c:numRef>
          </c:yVal>
          <c:smooth val="0"/>
          <c:extLst>
            <c:ext xmlns:c16="http://schemas.microsoft.com/office/drawing/2014/chart" uri="{C3380CC4-5D6E-409C-BE32-E72D297353CC}">
              <c16:uniqueId val="{00000001-748B-4B0E-B424-F747DCDBBF15}"/>
            </c:ext>
          </c:extLst>
        </c:ser>
        <c:dLbls>
          <c:showLegendKey val="0"/>
          <c:showVal val="0"/>
          <c:showCatName val="0"/>
          <c:showSerName val="0"/>
          <c:showPercent val="0"/>
          <c:showBubbleSize val="0"/>
        </c:dLbls>
        <c:axId val="99115584"/>
        <c:axId val="99116160"/>
      </c:scatterChart>
      <c:valAx>
        <c:axId val="99115584"/>
        <c:scaling>
          <c:orientation val="minMax"/>
        </c:scaling>
        <c:delete val="0"/>
        <c:axPos val="b"/>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9116160"/>
        <c:crosses val="autoZero"/>
        <c:crossBetween val="midCat"/>
      </c:valAx>
      <c:valAx>
        <c:axId val="99116160"/>
        <c:scaling>
          <c:orientation val="minMax"/>
        </c:scaling>
        <c:delete val="0"/>
        <c:axPos val="l"/>
        <c:majorGridlines>
          <c:spPr>
            <a:ln w="9525" cap="flat" cmpd="sng" algn="ctr">
              <a:solidFill>
                <a:schemeClr val="tx2">
                  <a:lumMod val="15000"/>
                  <a:lumOff val="85000"/>
                </a:schemeClr>
              </a:solidFill>
              <a:round/>
            </a:ln>
            <a:effectLst/>
          </c:spPr>
        </c:majorGridlines>
        <c:numFmt formatCode="0.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9115584"/>
        <c:crosses val="autoZero"/>
        <c:crossBetween val="midCat"/>
      </c:valAx>
      <c:spPr>
        <a:noFill/>
        <a:ln>
          <a:noFill/>
        </a:ln>
        <a:effectLst/>
      </c:spPr>
    </c:plotArea>
    <c:legend>
      <c:legendPos val="r"/>
      <c:layout>
        <c:manualLayout>
          <c:xMode val="edge"/>
          <c:yMode val="edge"/>
          <c:x val="0.75027220080622958"/>
          <c:y val="0.75109607166872738"/>
          <c:w val="0.1796522130337842"/>
          <c:h val="0.1200008062989868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567147856517933E-2"/>
          <c:y val="6.2648147881641053E-2"/>
          <c:w val="0.85146062992125982"/>
          <c:h val="0.8567482316452425"/>
        </c:manualLayout>
      </c:layout>
      <c:scatterChart>
        <c:scatterStyle val="lineMarker"/>
        <c:varyColors val="0"/>
        <c:ser>
          <c:idx val="0"/>
          <c:order val="0"/>
          <c:tx>
            <c:v>PAA</c:v>
          </c:tx>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'3 years'!$C$109:$C$120</c:f>
              <c:numCache>
                <c:formatCode>#,##0</c:formatCode>
                <c:ptCount val="12"/>
                <c:pt idx="0">
                  <c:v>1</c:v>
                </c:pt>
                <c:pt idx="1">
                  <c:v>2</c:v>
                </c:pt>
                <c:pt idx="2">
                  <c:v>3</c:v>
                </c:pt>
                <c:pt idx="3">
                  <c:v>4</c:v>
                </c:pt>
                <c:pt idx="4">
                  <c:v>5</c:v>
                </c:pt>
                <c:pt idx="5">
                  <c:v>6</c:v>
                </c:pt>
                <c:pt idx="6">
                  <c:v>7</c:v>
                </c:pt>
                <c:pt idx="7">
                  <c:v>8</c:v>
                </c:pt>
                <c:pt idx="8">
                  <c:v>9</c:v>
                </c:pt>
                <c:pt idx="9">
                  <c:v>10</c:v>
                </c:pt>
                <c:pt idx="10">
                  <c:v>11</c:v>
                </c:pt>
                <c:pt idx="11">
                  <c:v>12</c:v>
                </c:pt>
              </c:numCache>
            </c:numRef>
          </c:xVal>
          <c:yVal>
            <c:numRef>
              <c:f>'3 years'!$Z$132:$Z$143</c:f>
              <c:numCache>
                <c:formatCode>#,##0</c:formatCode>
                <c:ptCount val="12"/>
                <c:pt idx="0">
                  <c:v>-298898</c:v>
                </c:pt>
                <c:pt idx="1">
                  <c:v>132216</c:v>
                </c:pt>
                <c:pt idx="2">
                  <c:v>409485</c:v>
                </c:pt>
                <c:pt idx="3">
                  <c:v>547800</c:v>
                </c:pt>
                <c:pt idx="4">
                  <c:v>560884</c:v>
                </c:pt>
                <c:pt idx="5">
                  <c:v>461378</c:v>
                </c:pt>
                <c:pt idx="6">
                  <c:v>30648</c:v>
                </c:pt>
                <c:pt idx="7">
                  <c:v>-374094</c:v>
                </c:pt>
                <c:pt idx="8">
                  <c:v>-670867</c:v>
                </c:pt>
                <c:pt idx="9">
                  <c:v>-441495</c:v>
                </c:pt>
                <c:pt idx="10">
                  <c:v>-217926</c:v>
                </c:pt>
                <c:pt idx="11">
                  <c:v>0</c:v>
                </c:pt>
              </c:numCache>
            </c:numRef>
          </c:yVal>
          <c:smooth val="0"/>
          <c:extLst>
            <c:ext xmlns:c16="http://schemas.microsoft.com/office/drawing/2014/chart" uri="{C3380CC4-5D6E-409C-BE32-E72D297353CC}">
              <c16:uniqueId val="{00000000-2BFD-4A5E-9013-3D01D61CC4C7}"/>
            </c:ext>
          </c:extLst>
        </c:ser>
        <c:ser>
          <c:idx val="1"/>
          <c:order val="1"/>
          <c:tx>
            <c:v>GMM</c:v>
          </c:tx>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'3 years'!$C$109:$C$120</c:f>
              <c:numCache>
                <c:formatCode>#,##0</c:formatCode>
                <c:ptCount val="12"/>
                <c:pt idx="0">
                  <c:v>1</c:v>
                </c:pt>
                <c:pt idx="1">
                  <c:v>2</c:v>
                </c:pt>
                <c:pt idx="2">
                  <c:v>3</c:v>
                </c:pt>
                <c:pt idx="3">
                  <c:v>4</c:v>
                </c:pt>
                <c:pt idx="4">
                  <c:v>5</c:v>
                </c:pt>
                <c:pt idx="5">
                  <c:v>6</c:v>
                </c:pt>
                <c:pt idx="6">
                  <c:v>7</c:v>
                </c:pt>
                <c:pt idx="7">
                  <c:v>8</c:v>
                </c:pt>
                <c:pt idx="8">
                  <c:v>9</c:v>
                </c:pt>
                <c:pt idx="9">
                  <c:v>10</c:v>
                </c:pt>
                <c:pt idx="10">
                  <c:v>11</c:v>
                </c:pt>
                <c:pt idx="11">
                  <c:v>12</c:v>
                </c:pt>
              </c:numCache>
            </c:numRef>
          </c:xVal>
          <c:yVal>
            <c:numRef>
              <c:f>'3 years'!$AB$132:$AB$143</c:f>
              <c:numCache>
                <c:formatCode>#,##0</c:formatCode>
                <c:ptCount val="12"/>
                <c:pt idx="0">
                  <c:v>1220090.97</c:v>
                </c:pt>
                <c:pt idx="1">
                  <c:v>1442886.16</c:v>
                </c:pt>
                <c:pt idx="2">
                  <c:v>1577395.92</c:v>
                </c:pt>
                <c:pt idx="3">
                  <c:v>1631951.87</c:v>
                </c:pt>
                <c:pt idx="4">
                  <c:v>1614253.32</c:v>
                </c:pt>
                <c:pt idx="5">
                  <c:v>1531410.69</c:v>
                </c:pt>
                <c:pt idx="6">
                  <c:v>1269911.29</c:v>
                </c:pt>
                <c:pt idx="7">
                  <c:v>1006592.72</c:v>
                </c:pt>
                <c:pt idx="8">
                  <c:v>748066.34</c:v>
                </c:pt>
                <c:pt idx="9">
                  <c:v>494206.63</c:v>
                </c:pt>
                <c:pt idx="10">
                  <c:v>244891.05</c:v>
                </c:pt>
                <c:pt idx="11">
                  <c:v>0</c:v>
                </c:pt>
              </c:numCache>
            </c:numRef>
          </c:yVal>
          <c:smooth val="0"/>
          <c:extLst>
            <c:ext xmlns:c16="http://schemas.microsoft.com/office/drawing/2014/chart" uri="{C3380CC4-5D6E-409C-BE32-E72D297353CC}">
              <c16:uniqueId val="{00000001-2BFD-4A5E-9013-3D01D61CC4C7}"/>
            </c:ext>
          </c:extLst>
        </c:ser>
        <c:dLbls>
          <c:showLegendKey val="0"/>
          <c:showVal val="0"/>
          <c:showCatName val="0"/>
          <c:showSerName val="0"/>
          <c:showPercent val="0"/>
          <c:showBubbleSize val="0"/>
        </c:dLbls>
        <c:axId val="98179264"/>
        <c:axId val="98179840"/>
      </c:scatterChart>
      <c:valAx>
        <c:axId val="98179264"/>
        <c:scaling>
          <c:orientation val="minMax"/>
        </c:scaling>
        <c:delete val="0"/>
        <c:axPos val="b"/>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8179840"/>
        <c:crosses val="autoZero"/>
        <c:crossBetween val="midCat"/>
      </c:valAx>
      <c:valAx>
        <c:axId val="98179840"/>
        <c:scaling>
          <c:orientation val="minMax"/>
        </c:scaling>
        <c:delete val="0"/>
        <c:axPos val="l"/>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8179264"/>
        <c:crosses val="autoZero"/>
        <c:crossBetween val="midCat"/>
      </c:valAx>
      <c:spPr>
        <a:noFill/>
        <a:ln>
          <a:noFill/>
        </a:ln>
        <a:effectLst/>
      </c:spPr>
    </c:plotArea>
    <c:legend>
      <c:legendPos val="r"/>
      <c:layout>
        <c:manualLayout>
          <c:xMode val="edge"/>
          <c:yMode val="edge"/>
          <c:x val="0.83256735200710663"/>
          <c:y val="0.79649672351242129"/>
          <c:w val="0.1038748511360426"/>
          <c:h val="8.961441765409966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567147856517933E-2"/>
          <c:y val="6.2648147881641053E-2"/>
          <c:w val="0.85146062992125982"/>
          <c:h val="0.84698276440068021"/>
        </c:manualLayout>
      </c:layout>
      <c:scatterChart>
        <c:scatterStyle val="lineMarker"/>
        <c:varyColors val="0"/>
        <c:ser>
          <c:idx val="0"/>
          <c:order val="0"/>
          <c:tx>
            <c:v>CU distrib.</c:v>
          </c:tx>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'3 years'!$C$40:$C$51</c:f>
              <c:numCache>
                <c:formatCode>#,##0</c:formatCode>
                <c:ptCount val="12"/>
                <c:pt idx="0">
                  <c:v>1</c:v>
                </c:pt>
                <c:pt idx="1">
                  <c:v>2</c:v>
                </c:pt>
                <c:pt idx="2">
                  <c:v>3</c:v>
                </c:pt>
                <c:pt idx="3">
                  <c:v>4</c:v>
                </c:pt>
                <c:pt idx="4">
                  <c:v>5</c:v>
                </c:pt>
                <c:pt idx="5">
                  <c:v>6</c:v>
                </c:pt>
                <c:pt idx="6">
                  <c:v>7</c:v>
                </c:pt>
                <c:pt idx="7">
                  <c:v>8</c:v>
                </c:pt>
                <c:pt idx="8">
                  <c:v>9</c:v>
                </c:pt>
                <c:pt idx="9">
                  <c:v>10</c:v>
                </c:pt>
                <c:pt idx="10">
                  <c:v>11</c:v>
                </c:pt>
                <c:pt idx="11">
                  <c:v>12</c:v>
                </c:pt>
              </c:numCache>
            </c:numRef>
          </c:xVal>
          <c:yVal>
            <c:numRef>
              <c:f>'3 years'!$K$40:$K$51</c:f>
              <c:numCache>
                <c:formatCode>0.0%</c:formatCode>
                <c:ptCount val="12"/>
                <c:pt idx="0">
                  <c:v>8.3333333333333329E-2</c:v>
                </c:pt>
                <c:pt idx="1">
                  <c:v>8.3333333333333329E-2</c:v>
                </c:pt>
                <c:pt idx="2">
                  <c:v>8.3333333333333329E-2</c:v>
                </c:pt>
                <c:pt idx="3">
                  <c:v>8.3333333333333329E-2</c:v>
                </c:pt>
                <c:pt idx="4">
                  <c:v>8.3333333333333329E-2</c:v>
                </c:pt>
                <c:pt idx="5">
                  <c:v>8.3333333333333329E-2</c:v>
                </c:pt>
                <c:pt idx="6">
                  <c:v>8.3333333333333329E-2</c:v>
                </c:pt>
                <c:pt idx="7">
                  <c:v>8.3333333333333329E-2</c:v>
                </c:pt>
                <c:pt idx="8">
                  <c:v>8.3333333333333329E-2</c:v>
                </c:pt>
                <c:pt idx="9">
                  <c:v>8.3333333333333329E-2</c:v>
                </c:pt>
                <c:pt idx="10">
                  <c:v>8.3333333333333329E-2</c:v>
                </c:pt>
                <c:pt idx="11">
                  <c:v>8.3333333333333329E-2</c:v>
                </c:pt>
              </c:numCache>
            </c:numRef>
          </c:yVal>
          <c:smooth val="0"/>
          <c:extLst>
            <c:ext xmlns:c16="http://schemas.microsoft.com/office/drawing/2014/chart" uri="{C3380CC4-5D6E-409C-BE32-E72D297353CC}">
              <c16:uniqueId val="{00000000-E80A-42D6-901B-D3AC2B9A07CB}"/>
            </c:ext>
          </c:extLst>
        </c:ser>
        <c:ser>
          <c:idx val="1"/>
          <c:order val="1"/>
          <c:tx>
            <c:v>Risk distrib.</c:v>
          </c:tx>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'3 years'!$C$40:$C$51</c:f>
              <c:numCache>
                <c:formatCode>#,##0</c:formatCode>
                <c:ptCount val="12"/>
                <c:pt idx="0">
                  <c:v>1</c:v>
                </c:pt>
                <c:pt idx="1">
                  <c:v>2</c:v>
                </c:pt>
                <c:pt idx="2">
                  <c:v>3</c:v>
                </c:pt>
                <c:pt idx="3">
                  <c:v>4</c:v>
                </c:pt>
                <c:pt idx="4">
                  <c:v>5</c:v>
                </c:pt>
                <c:pt idx="5">
                  <c:v>6</c:v>
                </c:pt>
                <c:pt idx="6">
                  <c:v>7</c:v>
                </c:pt>
                <c:pt idx="7">
                  <c:v>8</c:v>
                </c:pt>
                <c:pt idx="8">
                  <c:v>9</c:v>
                </c:pt>
                <c:pt idx="9">
                  <c:v>10</c:v>
                </c:pt>
                <c:pt idx="10">
                  <c:v>11</c:v>
                </c:pt>
                <c:pt idx="11">
                  <c:v>12</c:v>
                </c:pt>
              </c:numCache>
            </c:numRef>
          </c:xVal>
          <c:yVal>
            <c:numRef>
              <c:f>'3 years'!$P$40:$P$51</c:f>
              <c:numCache>
                <c:formatCode>0.0%</c:formatCode>
                <c:ptCount val="12"/>
                <c:pt idx="0">
                  <c:v>1.282051282051282E-2</c:v>
                </c:pt>
                <c:pt idx="1">
                  <c:v>2.564102564102564E-2</c:v>
                </c:pt>
                <c:pt idx="2">
                  <c:v>3.8461538461538464E-2</c:v>
                </c:pt>
                <c:pt idx="3">
                  <c:v>5.128205128205128E-2</c:v>
                </c:pt>
                <c:pt idx="4">
                  <c:v>6.4102564102564097E-2</c:v>
                </c:pt>
                <c:pt idx="5">
                  <c:v>7.6923076923076927E-2</c:v>
                </c:pt>
                <c:pt idx="6">
                  <c:v>8.9743589743589744E-2</c:v>
                </c:pt>
                <c:pt idx="7">
                  <c:v>0.10256410256410256</c:v>
                </c:pt>
                <c:pt idx="8">
                  <c:v>0.11538461538461539</c:v>
                </c:pt>
                <c:pt idx="9">
                  <c:v>0.12820512820512819</c:v>
                </c:pt>
                <c:pt idx="10">
                  <c:v>0.14102564102564102</c:v>
                </c:pt>
                <c:pt idx="11">
                  <c:v>0.15384615384615385</c:v>
                </c:pt>
              </c:numCache>
            </c:numRef>
          </c:yVal>
          <c:smooth val="0"/>
          <c:extLst>
            <c:ext xmlns:c16="http://schemas.microsoft.com/office/drawing/2014/chart" uri="{C3380CC4-5D6E-409C-BE32-E72D297353CC}">
              <c16:uniqueId val="{00000001-E80A-42D6-901B-D3AC2B9A07CB}"/>
            </c:ext>
          </c:extLst>
        </c:ser>
        <c:dLbls>
          <c:showLegendKey val="0"/>
          <c:showVal val="0"/>
          <c:showCatName val="0"/>
          <c:showSerName val="0"/>
          <c:showPercent val="0"/>
          <c:showBubbleSize val="0"/>
        </c:dLbls>
        <c:axId val="99115584"/>
        <c:axId val="99116160"/>
      </c:scatterChart>
      <c:valAx>
        <c:axId val="99115584"/>
        <c:scaling>
          <c:orientation val="minMax"/>
        </c:scaling>
        <c:delete val="0"/>
        <c:axPos val="b"/>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9116160"/>
        <c:crosses val="autoZero"/>
        <c:crossBetween val="midCat"/>
      </c:valAx>
      <c:valAx>
        <c:axId val="99116160"/>
        <c:scaling>
          <c:orientation val="minMax"/>
        </c:scaling>
        <c:delete val="0"/>
        <c:axPos val="l"/>
        <c:majorGridlines>
          <c:spPr>
            <a:ln w="9525" cap="flat" cmpd="sng" algn="ctr">
              <a:solidFill>
                <a:schemeClr val="tx2">
                  <a:lumMod val="15000"/>
                  <a:lumOff val="85000"/>
                </a:schemeClr>
              </a:solidFill>
              <a:round/>
            </a:ln>
            <a:effectLst/>
          </c:spPr>
        </c:majorGridlines>
        <c:numFmt formatCode="0.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9115584"/>
        <c:crosses val="autoZero"/>
        <c:crossBetween val="midCat"/>
      </c:valAx>
      <c:spPr>
        <a:noFill/>
        <a:ln>
          <a:noFill/>
        </a:ln>
        <a:effectLst/>
      </c:spPr>
    </c:plotArea>
    <c:legend>
      <c:legendPos val="r"/>
      <c:layout>
        <c:manualLayout>
          <c:xMode val="edge"/>
          <c:yMode val="edge"/>
          <c:x val="0.75027220080622958"/>
          <c:y val="0.75109607166872738"/>
          <c:w val="0.1796522130337842"/>
          <c:h val="0.1200008062989868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567147856517933E-2"/>
          <c:y val="6.2648147881641053E-2"/>
          <c:w val="0.85146062992125982"/>
          <c:h val="0.8567482316452425"/>
        </c:manualLayout>
      </c:layout>
      <c:scatterChart>
        <c:scatterStyle val="lineMarker"/>
        <c:varyColors val="0"/>
        <c:ser>
          <c:idx val="0"/>
          <c:order val="0"/>
          <c:tx>
            <c:v>PAA</c:v>
          </c:tx>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'4 years'!$C$121:$C$136</c:f>
              <c:numCache>
                <c:formatCode>#,##0</c:formatCode>
                <c:ptCount val="1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numCache>
            </c:numRef>
          </c:xVal>
          <c:yVal>
            <c:numRef>
              <c:f>'4 years'!$Z$148:$Z$163</c:f>
              <c:numCache>
                <c:formatCode>#,##0</c:formatCode>
                <c:ptCount val="16"/>
                <c:pt idx="0">
                  <c:v>89963</c:v>
                </c:pt>
                <c:pt idx="1">
                  <c:v>820003</c:v>
                </c:pt>
                <c:pt idx="2">
                  <c:v>1704934</c:v>
                </c:pt>
                <c:pt idx="3">
                  <c:v>2584218</c:v>
                </c:pt>
                <c:pt idx="4">
                  <c:v>2526492</c:v>
                </c:pt>
                <c:pt idx="5">
                  <c:v>2261629</c:v>
                </c:pt>
                <c:pt idx="6">
                  <c:v>1963274</c:v>
                </c:pt>
                <c:pt idx="7">
                  <c:v>1796703</c:v>
                </c:pt>
                <c:pt idx="8">
                  <c:v>1623968</c:v>
                </c:pt>
                <c:pt idx="9">
                  <c:v>1392576</c:v>
                </c:pt>
                <c:pt idx="10">
                  <c:v>1173357</c:v>
                </c:pt>
                <c:pt idx="11">
                  <c:v>963975</c:v>
                </c:pt>
                <c:pt idx="12">
                  <c:v>714622</c:v>
                </c:pt>
                <c:pt idx="13">
                  <c:v>470936</c:v>
                </c:pt>
                <c:pt idx="14">
                  <c:v>232776</c:v>
                </c:pt>
                <c:pt idx="15">
                  <c:v>0</c:v>
                </c:pt>
              </c:numCache>
            </c:numRef>
          </c:yVal>
          <c:smooth val="0"/>
          <c:extLst>
            <c:ext xmlns:c16="http://schemas.microsoft.com/office/drawing/2014/chart" uri="{C3380CC4-5D6E-409C-BE32-E72D297353CC}">
              <c16:uniqueId val="{00000000-A21E-4D0F-82AA-C73AE107B16D}"/>
            </c:ext>
          </c:extLst>
        </c:ser>
        <c:ser>
          <c:idx val="1"/>
          <c:order val="1"/>
          <c:tx>
            <c:v>GMM</c:v>
          </c:tx>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'4 years'!$C$121:$C$136</c:f>
              <c:numCache>
                <c:formatCode>#,##0</c:formatCode>
                <c:ptCount val="1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numCache>
            </c:numRef>
          </c:xVal>
          <c:yVal>
            <c:numRef>
              <c:f>'4 years'!$AB$148:$AB$163</c:f>
              <c:numCache>
                <c:formatCode>#,##0</c:formatCode>
                <c:ptCount val="16"/>
                <c:pt idx="0">
                  <c:v>1909904.26</c:v>
                </c:pt>
                <c:pt idx="1">
                  <c:v>2658710.04</c:v>
                </c:pt>
                <c:pt idx="2">
                  <c:v>3562509.89</c:v>
                </c:pt>
                <c:pt idx="3">
                  <c:v>4461209.46</c:v>
                </c:pt>
                <c:pt idx="4">
                  <c:v>4419232.03</c:v>
                </c:pt>
                <c:pt idx="5">
                  <c:v>4165801.63</c:v>
                </c:pt>
                <c:pt idx="6">
                  <c:v>3881685.63</c:v>
                </c:pt>
                <c:pt idx="7">
                  <c:v>3482649.45</c:v>
                </c:pt>
                <c:pt idx="8">
                  <c:v>3082585.97</c:v>
                </c:pt>
                <c:pt idx="9">
                  <c:v>2628865.06</c:v>
                </c:pt>
                <c:pt idx="10">
                  <c:v>2192181.66</c:v>
                </c:pt>
                <c:pt idx="11">
                  <c:v>1770068.11</c:v>
                </c:pt>
                <c:pt idx="12">
                  <c:v>1312589.71</c:v>
                </c:pt>
                <c:pt idx="13">
                  <c:v>865260.53</c:v>
                </c:pt>
                <c:pt idx="14">
                  <c:v>427816.44</c:v>
                </c:pt>
                <c:pt idx="15">
                  <c:v>0</c:v>
                </c:pt>
              </c:numCache>
            </c:numRef>
          </c:yVal>
          <c:smooth val="0"/>
          <c:extLst>
            <c:ext xmlns:c16="http://schemas.microsoft.com/office/drawing/2014/chart" uri="{C3380CC4-5D6E-409C-BE32-E72D297353CC}">
              <c16:uniqueId val="{00000001-A21E-4D0F-82AA-C73AE107B16D}"/>
            </c:ext>
          </c:extLst>
        </c:ser>
        <c:dLbls>
          <c:showLegendKey val="0"/>
          <c:showVal val="0"/>
          <c:showCatName val="0"/>
          <c:showSerName val="0"/>
          <c:showPercent val="0"/>
          <c:showBubbleSize val="0"/>
        </c:dLbls>
        <c:axId val="98179264"/>
        <c:axId val="98179840"/>
      </c:scatterChart>
      <c:valAx>
        <c:axId val="98179264"/>
        <c:scaling>
          <c:orientation val="minMax"/>
        </c:scaling>
        <c:delete val="0"/>
        <c:axPos val="b"/>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8179840"/>
        <c:crosses val="autoZero"/>
        <c:crossBetween val="midCat"/>
      </c:valAx>
      <c:valAx>
        <c:axId val="98179840"/>
        <c:scaling>
          <c:orientation val="minMax"/>
        </c:scaling>
        <c:delete val="0"/>
        <c:axPos val="l"/>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8179264"/>
        <c:crosses val="autoZero"/>
        <c:crossBetween val="midCat"/>
      </c:valAx>
      <c:spPr>
        <a:noFill/>
        <a:ln>
          <a:noFill/>
        </a:ln>
        <a:effectLst/>
      </c:spPr>
    </c:plotArea>
    <c:legend>
      <c:legendPos val="tr"/>
      <c:layout>
        <c:manualLayout>
          <c:xMode val="edge"/>
          <c:yMode val="edge"/>
          <c:x val="0.83462553466938438"/>
          <c:y val="0.79003993952565676"/>
          <c:w val="0.10408124817261256"/>
          <c:h val="8.826834625043633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567147856517933E-2"/>
          <c:y val="6.2648147881641053E-2"/>
          <c:w val="0.85146062992125982"/>
          <c:h val="0.84698276440068021"/>
        </c:manualLayout>
      </c:layout>
      <c:scatterChart>
        <c:scatterStyle val="lineMarker"/>
        <c:varyColors val="0"/>
        <c:ser>
          <c:idx val="0"/>
          <c:order val="0"/>
          <c:tx>
            <c:v>CU distrib.</c:v>
          </c:tx>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'4 years'!$C$40:$C$55</c:f>
              <c:numCache>
                <c:formatCode>#,##0</c:formatCode>
                <c:ptCount val="1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numCache>
            </c:numRef>
          </c:xVal>
          <c:yVal>
            <c:numRef>
              <c:f>'4 years'!$K$40:$K$55</c:f>
              <c:numCache>
                <c:formatCode>0.0%</c:formatCode>
                <c:ptCount val="16"/>
                <c:pt idx="0">
                  <c:v>6.25E-2</c:v>
                </c:pt>
                <c:pt idx="1">
                  <c:v>6.25E-2</c:v>
                </c:pt>
                <c:pt idx="2">
                  <c:v>6.25E-2</c:v>
                </c:pt>
                <c:pt idx="3">
                  <c:v>6.25E-2</c:v>
                </c:pt>
                <c:pt idx="4">
                  <c:v>6.25E-2</c:v>
                </c:pt>
                <c:pt idx="5">
                  <c:v>6.25E-2</c:v>
                </c:pt>
                <c:pt idx="6">
                  <c:v>6.25E-2</c:v>
                </c:pt>
                <c:pt idx="7">
                  <c:v>6.25E-2</c:v>
                </c:pt>
                <c:pt idx="8">
                  <c:v>6.25E-2</c:v>
                </c:pt>
                <c:pt idx="9">
                  <c:v>6.25E-2</c:v>
                </c:pt>
                <c:pt idx="10">
                  <c:v>6.25E-2</c:v>
                </c:pt>
                <c:pt idx="11">
                  <c:v>6.25E-2</c:v>
                </c:pt>
                <c:pt idx="12">
                  <c:v>6.25E-2</c:v>
                </c:pt>
                <c:pt idx="13">
                  <c:v>6.25E-2</c:v>
                </c:pt>
                <c:pt idx="14">
                  <c:v>6.25E-2</c:v>
                </c:pt>
                <c:pt idx="15">
                  <c:v>6.25E-2</c:v>
                </c:pt>
              </c:numCache>
            </c:numRef>
          </c:yVal>
          <c:smooth val="0"/>
          <c:extLst>
            <c:ext xmlns:c16="http://schemas.microsoft.com/office/drawing/2014/chart" uri="{C3380CC4-5D6E-409C-BE32-E72D297353CC}">
              <c16:uniqueId val="{00000000-ECA9-43F3-A4CD-609D533DEDCB}"/>
            </c:ext>
          </c:extLst>
        </c:ser>
        <c:ser>
          <c:idx val="1"/>
          <c:order val="1"/>
          <c:tx>
            <c:v>Risk distrib.</c:v>
          </c:tx>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'4 years'!$C$40:$C$55</c:f>
              <c:numCache>
                <c:formatCode>#,##0</c:formatCode>
                <c:ptCount val="1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numCache>
            </c:numRef>
          </c:xVal>
          <c:yVal>
            <c:numRef>
              <c:f>'4 years'!$P$40:$P$55</c:f>
              <c:numCache>
                <c:formatCode>0.0%</c:formatCode>
                <c:ptCount val="16"/>
                <c:pt idx="0">
                  <c:v>6.25E-2</c:v>
                </c:pt>
                <c:pt idx="1">
                  <c:v>6.25E-2</c:v>
                </c:pt>
                <c:pt idx="2">
                  <c:v>6.25E-2</c:v>
                </c:pt>
                <c:pt idx="3">
                  <c:v>6.25E-2</c:v>
                </c:pt>
                <c:pt idx="4">
                  <c:v>6.25E-2</c:v>
                </c:pt>
                <c:pt idx="5">
                  <c:v>6.25E-2</c:v>
                </c:pt>
                <c:pt idx="6">
                  <c:v>6.25E-2</c:v>
                </c:pt>
                <c:pt idx="7">
                  <c:v>6.25E-2</c:v>
                </c:pt>
                <c:pt idx="8">
                  <c:v>6.25E-2</c:v>
                </c:pt>
                <c:pt idx="9">
                  <c:v>6.25E-2</c:v>
                </c:pt>
                <c:pt idx="10">
                  <c:v>6.25E-2</c:v>
                </c:pt>
                <c:pt idx="11">
                  <c:v>6.25E-2</c:v>
                </c:pt>
                <c:pt idx="12">
                  <c:v>6.25E-2</c:v>
                </c:pt>
                <c:pt idx="13">
                  <c:v>6.25E-2</c:v>
                </c:pt>
                <c:pt idx="14">
                  <c:v>6.25E-2</c:v>
                </c:pt>
                <c:pt idx="15">
                  <c:v>6.25E-2</c:v>
                </c:pt>
              </c:numCache>
            </c:numRef>
          </c:yVal>
          <c:smooth val="0"/>
          <c:extLst>
            <c:ext xmlns:c16="http://schemas.microsoft.com/office/drawing/2014/chart" uri="{C3380CC4-5D6E-409C-BE32-E72D297353CC}">
              <c16:uniqueId val="{00000001-ECA9-43F3-A4CD-609D533DEDCB}"/>
            </c:ext>
          </c:extLst>
        </c:ser>
        <c:dLbls>
          <c:showLegendKey val="0"/>
          <c:showVal val="0"/>
          <c:showCatName val="0"/>
          <c:showSerName val="0"/>
          <c:showPercent val="0"/>
          <c:showBubbleSize val="0"/>
        </c:dLbls>
        <c:axId val="99115584"/>
        <c:axId val="99116160"/>
      </c:scatterChart>
      <c:valAx>
        <c:axId val="99115584"/>
        <c:scaling>
          <c:orientation val="minMax"/>
        </c:scaling>
        <c:delete val="0"/>
        <c:axPos val="b"/>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9116160"/>
        <c:crosses val="autoZero"/>
        <c:crossBetween val="midCat"/>
      </c:valAx>
      <c:valAx>
        <c:axId val="99116160"/>
        <c:scaling>
          <c:orientation val="minMax"/>
        </c:scaling>
        <c:delete val="0"/>
        <c:axPos val="l"/>
        <c:majorGridlines>
          <c:spPr>
            <a:ln w="9525" cap="flat" cmpd="sng" algn="ctr">
              <a:solidFill>
                <a:schemeClr val="tx2">
                  <a:lumMod val="15000"/>
                  <a:lumOff val="85000"/>
                </a:schemeClr>
              </a:solidFill>
              <a:round/>
            </a:ln>
            <a:effectLst/>
          </c:spPr>
        </c:majorGridlines>
        <c:numFmt formatCode="0.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9115584"/>
        <c:crosses val="autoZero"/>
        <c:crossBetween val="midCat"/>
      </c:valAx>
      <c:spPr>
        <a:noFill/>
        <a:ln>
          <a:noFill/>
        </a:ln>
        <a:effectLst/>
      </c:spPr>
    </c:plotArea>
    <c:legend>
      <c:legendPos val="r"/>
      <c:layout>
        <c:manualLayout>
          <c:xMode val="edge"/>
          <c:yMode val="edge"/>
          <c:x val="0.75027220080622958"/>
          <c:y val="0.75109607166872738"/>
          <c:w val="0.1796522130337842"/>
          <c:h val="0.1200008062989868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567147856517933E-2"/>
          <c:y val="6.2648147881641053E-2"/>
          <c:w val="0.85146062992125982"/>
          <c:h val="0.8567482316452425"/>
        </c:manualLayout>
      </c:layout>
      <c:scatterChart>
        <c:scatterStyle val="lineMarker"/>
        <c:varyColors val="0"/>
        <c:ser>
          <c:idx val="0"/>
          <c:order val="0"/>
          <c:tx>
            <c:v>PAA</c:v>
          </c:tx>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'5 years'!$C$133:$C$152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years'!$Z$164:$Z$183</c:f>
              <c:numCache>
                <c:formatCode>#,##0</c:formatCode>
                <c:ptCount val="20"/>
                <c:pt idx="0">
                  <c:v>-980261</c:v>
                </c:pt>
                <c:pt idx="1">
                  <c:v>-1056807</c:v>
                </c:pt>
                <c:pt idx="2">
                  <c:v>-1010995</c:v>
                </c:pt>
                <c:pt idx="3">
                  <c:v>-919237</c:v>
                </c:pt>
                <c:pt idx="4">
                  <c:v>-832815</c:v>
                </c:pt>
                <c:pt idx="5">
                  <c:v>-751412</c:v>
                </c:pt>
                <c:pt idx="6">
                  <c:v>-1407082</c:v>
                </c:pt>
                <c:pt idx="7">
                  <c:v>-1451109</c:v>
                </c:pt>
                <c:pt idx="8">
                  <c:v>-1312166</c:v>
                </c:pt>
                <c:pt idx="9">
                  <c:v>-1176808</c:v>
                </c:pt>
                <c:pt idx="10">
                  <c:v>-1044938</c:v>
                </c:pt>
                <c:pt idx="11">
                  <c:v>-916460</c:v>
                </c:pt>
                <c:pt idx="12">
                  <c:v>-791278</c:v>
                </c:pt>
                <c:pt idx="13">
                  <c:v>-669304</c:v>
                </c:pt>
                <c:pt idx="14">
                  <c:v>-550447</c:v>
                </c:pt>
                <c:pt idx="15">
                  <c:v>-434622</c:v>
                </c:pt>
                <c:pt idx="16">
                  <c:v>-321746</c:v>
                </c:pt>
                <c:pt idx="17">
                  <c:v>-211735</c:v>
                </c:pt>
                <c:pt idx="18">
                  <c:v>-104513</c:v>
                </c:pt>
                <c:pt idx="19">
                  <c:v>0</c:v>
                </c:pt>
              </c:numCache>
            </c:numRef>
          </c:yVal>
          <c:smooth val="0"/>
          <c:extLst>
            <c:ext xmlns:c16="http://schemas.microsoft.com/office/drawing/2014/chart" uri="{C3380CC4-5D6E-409C-BE32-E72D297353CC}">
              <c16:uniqueId val="{00000000-3F7A-4629-9F73-9A908A91293B}"/>
            </c:ext>
          </c:extLst>
        </c:ser>
        <c:ser>
          <c:idx val="1"/>
          <c:order val="1"/>
          <c:tx>
            <c:v>GMM</c:v>
          </c:tx>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'5 years'!$C$133:$C$152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years'!$AB$164:$AB$183</c:f>
              <c:numCache>
                <c:formatCode>#,##0</c:formatCode>
                <c:ptCount val="20"/>
                <c:pt idx="0">
                  <c:v>833780.04</c:v>
                </c:pt>
                <c:pt idx="1">
                  <c:v>770433.64</c:v>
                </c:pt>
                <c:pt idx="2">
                  <c:v>709834.18</c:v>
                </c:pt>
                <c:pt idx="3">
                  <c:v>651860.34</c:v>
                </c:pt>
                <c:pt idx="4">
                  <c:v>596395.92000000004</c:v>
                </c:pt>
                <c:pt idx="5">
                  <c:v>543329.6</c:v>
                </c:pt>
                <c:pt idx="6">
                  <c:v>497979.95</c:v>
                </c:pt>
                <c:pt idx="7">
                  <c:v>457227.98</c:v>
                </c:pt>
                <c:pt idx="8">
                  <c:v>416915.09</c:v>
                </c:pt>
                <c:pt idx="9">
                  <c:v>377032.49</c:v>
                </c:pt>
                <c:pt idx="10">
                  <c:v>337571.47</c:v>
                </c:pt>
                <c:pt idx="11">
                  <c:v>298523.40999999997</c:v>
                </c:pt>
                <c:pt idx="12">
                  <c:v>259879.77</c:v>
                </c:pt>
                <c:pt idx="13">
                  <c:v>221632.12</c:v>
                </c:pt>
                <c:pt idx="14">
                  <c:v>183772.1</c:v>
                </c:pt>
                <c:pt idx="15">
                  <c:v>146291.43</c:v>
                </c:pt>
                <c:pt idx="16">
                  <c:v>109181.93</c:v>
                </c:pt>
                <c:pt idx="17">
                  <c:v>72435.509999999995</c:v>
                </c:pt>
                <c:pt idx="18">
                  <c:v>36044.17</c:v>
                </c:pt>
                <c:pt idx="19">
                  <c:v>0</c:v>
                </c:pt>
              </c:numCache>
            </c:numRef>
          </c:yVal>
          <c:smooth val="0"/>
          <c:extLst>
            <c:ext xmlns:c16="http://schemas.microsoft.com/office/drawing/2014/chart" uri="{C3380CC4-5D6E-409C-BE32-E72D297353CC}">
              <c16:uniqueId val="{00000001-3F7A-4629-9F73-9A908A91293B}"/>
            </c:ext>
          </c:extLst>
        </c:ser>
        <c:dLbls>
          <c:showLegendKey val="0"/>
          <c:showVal val="0"/>
          <c:showCatName val="0"/>
          <c:showSerName val="0"/>
          <c:showPercent val="0"/>
          <c:showBubbleSize val="0"/>
        </c:dLbls>
        <c:axId val="98179264"/>
        <c:axId val="98179840"/>
      </c:scatterChart>
      <c:valAx>
        <c:axId val="98179264"/>
        <c:scaling>
          <c:orientation val="minMax"/>
        </c:scaling>
        <c:delete val="0"/>
        <c:axPos val="b"/>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8179840"/>
        <c:crosses val="autoZero"/>
        <c:crossBetween val="midCat"/>
      </c:valAx>
      <c:valAx>
        <c:axId val="98179840"/>
        <c:scaling>
          <c:orientation val="minMax"/>
        </c:scaling>
        <c:delete val="0"/>
        <c:axPos val="l"/>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8179264"/>
        <c:crosses val="autoZero"/>
        <c:crossBetween val="midCat"/>
      </c:valAx>
      <c:spPr>
        <a:noFill/>
        <a:ln>
          <a:noFill/>
        </a:ln>
        <a:effectLst/>
      </c:spPr>
    </c:plotArea>
    <c:legend>
      <c:legendPos val="r"/>
      <c:layout>
        <c:manualLayout>
          <c:xMode val="edge"/>
          <c:yMode val="edge"/>
          <c:x val="0.8286894095625803"/>
          <c:y val="0.78240251979121289"/>
          <c:w val="0.1046142768914532"/>
          <c:h val="9.261350733567309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567147856517933E-2"/>
          <c:y val="6.2648147881641053E-2"/>
          <c:w val="0.85146062992125982"/>
          <c:h val="0.84698276440068021"/>
        </c:manualLayout>
      </c:layout>
      <c:scatterChart>
        <c:scatterStyle val="lineMarker"/>
        <c:varyColors val="0"/>
        <c:ser>
          <c:idx val="0"/>
          <c:order val="0"/>
          <c:tx>
            <c:v>CU distrib.</c:v>
          </c:tx>
          <c:marker>
            <c:symbol val="circle"/>
            <c:size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c:spPr>
          </c:marker>
          <c:xVal>
            <c:numRef>
              <c:f>'5 years'!$C$40:$C$59</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years'!$K$40:$K$59</c:f>
              <c:numCache>
                <c:formatCode>0.0%</c:formatCode>
                <c:ptCount val="20"/>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numCache>
            </c:numRef>
          </c:yVal>
          <c:smooth val="0"/>
          <c:extLst>
            <c:ext xmlns:c16="http://schemas.microsoft.com/office/drawing/2014/chart" uri="{C3380CC4-5D6E-409C-BE32-E72D297353CC}">
              <c16:uniqueId val="{00000000-F499-414A-B050-835F5D9C05EF}"/>
            </c:ext>
          </c:extLst>
        </c:ser>
        <c:ser>
          <c:idx val="1"/>
          <c:order val="1"/>
          <c:tx>
            <c:v>Risk distrib.</c:v>
          </c:tx>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c:spPr>
          </c:marker>
          <c:xVal>
            <c:numRef>
              <c:f>'5 years'!$C$40:$C$59</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years'!$P$40:$P$59</c:f>
              <c:numCache>
                <c:formatCode>0.0%</c:formatCode>
                <c:ptCount val="20"/>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numCache>
            </c:numRef>
          </c:yVal>
          <c:smooth val="0"/>
          <c:extLst>
            <c:ext xmlns:c16="http://schemas.microsoft.com/office/drawing/2014/chart" uri="{C3380CC4-5D6E-409C-BE32-E72D297353CC}">
              <c16:uniqueId val="{00000001-F499-414A-B050-835F5D9C05EF}"/>
            </c:ext>
          </c:extLst>
        </c:ser>
        <c:dLbls>
          <c:showLegendKey val="0"/>
          <c:showVal val="0"/>
          <c:showCatName val="0"/>
          <c:showSerName val="0"/>
          <c:showPercent val="0"/>
          <c:showBubbleSize val="0"/>
        </c:dLbls>
        <c:axId val="99115584"/>
        <c:axId val="99116160"/>
      </c:scatterChart>
      <c:valAx>
        <c:axId val="99115584"/>
        <c:scaling>
          <c:orientation val="minMax"/>
        </c:scaling>
        <c:delete val="0"/>
        <c:axPos val="b"/>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9116160"/>
        <c:crosses val="autoZero"/>
        <c:crossBetween val="midCat"/>
      </c:valAx>
      <c:valAx>
        <c:axId val="99116160"/>
        <c:scaling>
          <c:orientation val="minMax"/>
        </c:scaling>
        <c:delete val="0"/>
        <c:axPos val="l"/>
        <c:majorGridlines>
          <c:spPr>
            <a:ln w="9525" cap="flat" cmpd="sng" algn="ctr">
              <a:solidFill>
                <a:schemeClr val="tx2">
                  <a:lumMod val="15000"/>
                  <a:lumOff val="85000"/>
                </a:schemeClr>
              </a:solidFill>
              <a:round/>
            </a:ln>
            <a:effectLst/>
          </c:spPr>
        </c:majorGridlines>
        <c:numFmt formatCode="0.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99115584"/>
        <c:crosses val="autoZero"/>
        <c:crossBetween val="midCat"/>
      </c:valAx>
      <c:spPr>
        <a:noFill/>
        <a:ln>
          <a:noFill/>
        </a:ln>
        <a:effectLst/>
      </c:spPr>
    </c:plotArea>
    <c:legend>
      <c:legendPos val="r"/>
      <c:layout>
        <c:manualLayout>
          <c:xMode val="edge"/>
          <c:yMode val="edge"/>
          <c:x val="0.75027220080622958"/>
          <c:y val="0.75109607166872738"/>
          <c:w val="0.1796522130337842"/>
          <c:h val="0.1200008062989868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3blocks.co/" TargetMode="Externa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hyperlink" Target="http://www.3blocks.co/" TargetMode="Externa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hyperlink" Target="http://www.3blocks.co/" TargetMode="External"/></Relationships>
</file>

<file path=xl/drawings/_rels/drawing4.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hyperlink" Target="http://www.3blocks.co/" TargetMode="External"/></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hyperlink" Target="http://www.3blocks.co/" TargetMode="External"/></Relationships>
</file>

<file path=xl/drawings/_rels/drawing6.xml.rels><?xml version="1.0" encoding="UTF-8" standalone="yes"?>
<Relationships xmlns="http://schemas.openxmlformats.org/package/2006/relationships"><Relationship Id="rId1" Type="http://schemas.openxmlformats.org/officeDocument/2006/relationships/hyperlink" Target="http://www.3blocks.co/" TargetMode="External"/></Relationships>
</file>

<file path=xl/drawings/_rels/drawing7.xml.rels><?xml version="1.0" encoding="UTF-8" standalone="yes"?>
<Relationships xmlns="http://schemas.openxmlformats.org/package/2006/relationships"><Relationship Id="rId1" Type="http://schemas.openxmlformats.org/officeDocument/2006/relationships/hyperlink" Target="http://www.3blocks.co/" TargetMode="External"/></Relationships>
</file>

<file path=xl/drawings/_rels/drawing8.xml.rels><?xml version="1.0" encoding="UTF-8" standalone="yes"?>
<Relationships xmlns="http://schemas.openxmlformats.org/package/2006/relationships"><Relationship Id="rId1" Type="http://schemas.openxmlformats.org/officeDocument/2006/relationships/hyperlink" Target="http://www.3blocks.co/" TargetMode="External"/></Relationships>
</file>

<file path=xl/drawings/_rels/drawing9.xml.rels><?xml version="1.0" encoding="UTF-8" standalone="yes"?>
<Relationships xmlns="http://schemas.openxmlformats.org/package/2006/relationships"><Relationship Id="rId1" Type="http://schemas.openxmlformats.org/officeDocument/2006/relationships/hyperlink" Target="http://www.3blocks.co/" TargetMode="External"/></Relationships>
</file>

<file path=xl/drawings/drawing1.xml><?xml version="1.0" encoding="utf-8"?>
<xdr:wsDr xmlns:xdr="http://schemas.openxmlformats.org/drawingml/2006/spreadsheetDrawing" xmlns:a="http://schemas.openxmlformats.org/drawingml/2006/main">
  <xdr:twoCellAnchor editAs="absolute">
    <xdr:from>
      <xdr:col>1</xdr:col>
      <xdr:colOff>7620</xdr:colOff>
      <xdr:row>0</xdr:row>
      <xdr:rowOff>79106</xdr:rowOff>
    </xdr:from>
    <xdr:to>
      <xdr:col>2</xdr:col>
      <xdr:colOff>426549</xdr:colOff>
      <xdr:row>2</xdr:row>
      <xdr:rowOff>57797</xdr:rowOff>
    </xdr:to>
    <xdr:grpSp>
      <xdr:nvGrpSpPr>
        <xdr:cNvPr id="2" name="Group 1">
          <a:hlinkClick xmlns:r="http://schemas.openxmlformats.org/officeDocument/2006/relationships" r:id="rId1"/>
          <a:extLst>
            <a:ext uri="{FF2B5EF4-FFF2-40B4-BE49-F238E27FC236}">
              <a16:creationId xmlns:a16="http://schemas.microsoft.com/office/drawing/2014/main" id="{00000000-0008-0000-0000-000002000000}"/>
            </a:ext>
          </a:extLst>
        </xdr:cNvPr>
        <xdr:cNvGrpSpPr/>
      </xdr:nvGrpSpPr>
      <xdr:grpSpPr>
        <a:xfrm>
          <a:off x="380153" y="79106"/>
          <a:ext cx="1041229" cy="308891"/>
          <a:chOff x="2292668" y="2740184"/>
          <a:chExt cx="1005208" cy="328666"/>
        </a:xfrm>
        <a:effectLst>
          <a:outerShdw blurRad="50800" dist="50800" dir="5400000" algn="ctr" rotWithShape="0">
            <a:srgbClr val="000000">
              <a:alpha val="0"/>
            </a:srgbClr>
          </a:outerShdw>
        </a:effectLst>
      </xdr:grpSpPr>
      <xdr:sp macro="" textlink="">
        <xdr:nvSpPr>
          <xdr:cNvPr id="3" name="Tytuł 1">
            <a:extLst>
              <a:ext uri="{FF2B5EF4-FFF2-40B4-BE49-F238E27FC236}">
                <a16:creationId xmlns:a16="http://schemas.microsoft.com/office/drawing/2014/main" id="{00000000-0008-0000-0000-000003000000}"/>
              </a:ext>
            </a:extLst>
          </xdr:cNvPr>
          <xdr:cNvSpPr txBox="1">
            <a:spLocks/>
          </xdr:cNvSpPr>
        </xdr:nvSpPr>
        <xdr:spPr>
          <a:xfrm>
            <a:off x="2364116" y="2740184"/>
            <a:ext cx="874029" cy="225165"/>
          </a:xfrm>
          <a:prstGeom prst="rect">
            <a:avLst/>
          </a:prstGeom>
        </xdr:spPr>
        <xdr:txBody>
          <a:bodyPr vert="horz" wrap="square" lIns="0" tIns="0" rIns="0" bIns="0" rtlCol="0" anchor="ctr">
            <a:noAutofit/>
          </a:bodyPr>
          <a:lstStyle>
            <a:defPPr>
              <a:defRPr lang="pl-PL"/>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r>
              <a:rPr lang="pl-PL" sz="1300" b="1">
                <a:latin typeface="Ebrima" panose="02000000000000000000" pitchFamily="2" charset="0"/>
                <a:ea typeface="Ebrima" panose="02000000000000000000" pitchFamily="2" charset="0"/>
                <a:cs typeface="Ebrima" panose="02000000000000000000" pitchFamily="2" charset="0"/>
              </a:rPr>
              <a:t>3Blocks</a:t>
            </a:r>
            <a:r>
              <a:rPr lang="en-GB" sz="300" b="1">
                <a:latin typeface="Ebrima" panose="02000000000000000000" pitchFamily="2" charset="0"/>
                <a:ea typeface="Ebrima" panose="02000000000000000000" pitchFamily="2" charset="0"/>
                <a:cs typeface="Ebrima" panose="02000000000000000000" pitchFamily="2" charset="0"/>
              </a:rPr>
              <a:t> </a:t>
            </a:r>
            <a:r>
              <a:rPr lang="pl-PL" sz="600" b="1">
                <a:latin typeface="Ebrima" panose="02000000000000000000" pitchFamily="2" charset="0"/>
                <a:ea typeface="Ebrima" panose="02000000000000000000" pitchFamily="2" charset="0"/>
                <a:cs typeface="Ebrima" panose="02000000000000000000" pitchFamily="2" charset="0"/>
              </a:rPr>
              <a:t>®</a:t>
            </a:r>
          </a:p>
        </xdr:txBody>
      </xdr:sp>
      <xdr:grpSp>
        <xdr:nvGrpSpPr>
          <xdr:cNvPr id="4" name="Group 3">
            <a:extLst>
              <a:ext uri="{FF2B5EF4-FFF2-40B4-BE49-F238E27FC236}">
                <a16:creationId xmlns:a16="http://schemas.microsoft.com/office/drawing/2014/main" id="{00000000-0008-0000-0000-000004000000}"/>
              </a:ext>
            </a:extLst>
          </xdr:cNvPr>
          <xdr:cNvGrpSpPr>
            <a:grpSpLocks noChangeAspect="1"/>
          </xdr:cNvGrpSpPr>
        </xdr:nvGrpSpPr>
        <xdr:grpSpPr>
          <a:xfrm>
            <a:off x="2292668" y="2949307"/>
            <a:ext cx="1005208" cy="119543"/>
            <a:chOff x="2040001" y="3321847"/>
            <a:chExt cx="4540706" cy="540000"/>
          </a:xfrm>
        </xdr:grpSpPr>
        <xdr:sp macro="" textlink="">
          <xdr:nvSpPr>
            <xdr:cNvPr id="5" name="Prostokąt 15">
              <a:extLst>
                <a:ext uri="{FF2B5EF4-FFF2-40B4-BE49-F238E27FC236}">
                  <a16:creationId xmlns:a16="http://schemas.microsoft.com/office/drawing/2014/main" id="{00000000-0008-0000-0000-000005000000}"/>
                </a:ext>
              </a:extLst>
            </xdr:cNvPr>
            <xdr:cNvSpPr>
              <a:spLocks noChangeAspect="1"/>
            </xdr:cNvSpPr>
          </xdr:nvSpPr>
          <xdr:spPr>
            <a:xfrm>
              <a:off x="2040001" y="3321847"/>
              <a:ext cx="1440000" cy="540000"/>
            </a:xfrm>
            <a:prstGeom prst="rect">
              <a:avLst/>
            </a:prstGeom>
            <a:solidFill>
              <a:srgbClr val="FF616C"/>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6" name="Prostokąt 16">
              <a:extLst>
                <a:ext uri="{FF2B5EF4-FFF2-40B4-BE49-F238E27FC236}">
                  <a16:creationId xmlns:a16="http://schemas.microsoft.com/office/drawing/2014/main" id="{00000000-0008-0000-0000-000006000000}"/>
                </a:ext>
              </a:extLst>
            </xdr:cNvPr>
            <xdr:cNvSpPr>
              <a:spLocks noChangeAspect="1"/>
            </xdr:cNvSpPr>
          </xdr:nvSpPr>
          <xdr:spPr>
            <a:xfrm>
              <a:off x="5140707" y="3321847"/>
              <a:ext cx="1440000" cy="540000"/>
            </a:xfrm>
            <a:prstGeom prst="rect">
              <a:avLst/>
            </a:prstGeom>
            <a:solidFill>
              <a:srgbClr val="45A3F9"/>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7" name="Prostokąt 17">
              <a:extLst>
                <a:ext uri="{FF2B5EF4-FFF2-40B4-BE49-F238E27FC236}">
                  <a16:creationId xmlns:a16="http://schemas.microsoft.com/office/drawing/2014/main" id="{00000000-0008-0000-0000-000007000000}"/>
                </a:ext>
              </a:extLst>
            </xdr:cNvPr>
            <xdr:cNvSpPr>
              <a:spLocks noChangeAspect="1"/>
            </xdr:cNvSpPr>
          </xdr:nvSpPr>
          <xdr:spPr>
            <a:xfrm>
              <a:off x="3590354" y="3321847"/>
              <a:ext cx="1440000" cy="540000"/>
            </a:xfrm>
            <a:prstGeom prst="rect">
              <a:avLst/>
            </a:prstGeom>
            <a:solidFill>
              <a:srgbClr val="FCC220"/>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grpSp>
    </xdr:grpSp>
    <xdr:clientData/>
  </xdr:twoCellAnchor>
  <xdr:twoCellAnchor editAs="absolute">
    <xdr:from>
      <xdr:col>6</xdr:col>
      <xdr:colOff>571497</xdr:colOff>
      <xdr:row>0</xdr:row>
      <xdr:rowOff>91440</xdr:rowOff>
    </xdr:from>
    <xdr:to>
      <xdr:col>10</xdr:col>
      <xdr:colOff>546218</xdr:colOff>
      <xdr:row>2</xdr:row>
      <xdr:rowOff>108481</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4224864" y="91440"/>
          <a:ext cx="2633254" cy="3472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accent1">
                  <a:lumMod val="75000"/>
                </a:schemeClr>
              </a:solidFill>
            </a:rPr>
            <a:t>Gross PAA Eligibility Check - v2.1</a:t>
          </a:r>
          <a:endParaRPr lang="en-GB" sz="1400" b="1">
            <a:solidFill>
              <a:schemeClr val="accent1">
                <a:lumMod val="75000"/>
              </a:schemeClr>
            </a:solidFill>
          </a:endParaRPr>
        </a:p>
      </xdr:txBody>
    </xdr:sp>
    <xdr:clientData/>
  </xdr:twoCellAnchor>
  <xdr:twoCellAnchor editAs="absolute">
    <xdr:from>
      <xdr:col>11</xdr:col>
      <xdr:colOff>159042</xdr:colOff>
      <xdr:row>0</xdr:row>
      <xdr:rowOff>76200</xdr:rowOff>
    </xdr:from>
    <xdr:to>
      <xdr:col>14</xdr:col>
      <xdr:colOff>228773</xdr:colOff>
      <xdr:row>2</xdr:row>
      <xdr:rowOff>93241</xdr:rowOff>
    </xdr:to>
    <xdr:sp macro="" textlink="">
      <xdr:nvSpPr>
        <xdr:cNvPr id="9" name="TextBox 8">
          <a:hlinkClick xmlns:r="http://schemas.openxmlformats.org/officeDocument/2006/relationships" r:id="rId1"/>
          <a:extLst>
            <a:ext uri="{FF2B5EF4-FFF2-40B4-BE49-F238E27FC236}">
              <a16:creationId xmlns:a16="http://schemas.microsoft.com/office/drawing/2014/main" id="{00000000-0008-0000-0000-000009000000}"/>
            </a:ext>
          </a:extLst>
        </xdr:cNvPr>
        <xdr:cNvSpPr txBox="1"/>
      </xdr:nvSpPr>
      <xdr:spPr>
        <a:xfrm>
          <a:off x="7135575" y="76200"/>
          <a:ext cx="2063631" cy="3472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GB" sz="1400" b="1">
              <a:solidFill>
                <a:schemeClr val="tx1">
                  <a:lumMod val="65000"/>
                  <a:lumOff val="35000"/>
                </a:schemeClr>
              </a:solidFill>
            </a:rPr>
            <a:t>[ www.3blocks.co ]</a:t>
          </a:r>
        </a:p>
      </xdr:txBody>
    </xdr:sp>
    <xdr:clientData/>
  </xdr:twoCellAnchor>
  <xdr:twoCellAnchor editAs="absolute">
    <xdr:from>
      <xdr:col>3</xdr:col>
      <xdr:colOff>202475</xdr:colOff>
      <xdr:row>0</xdr:row>
      <xdr:rowOff>91440</xdr:rowOff>
    </xdr:from>
    <xdr:to>
      <xdr:col>6</xdr:col>
      <xdr:colOff>345078</xdr:colOff>
      <xdr:row>2</xdr:row>
      <xdr:rowOff>108481</xdr:rowOff>
    </xdr:to>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1775461" y="91440"/>
          <a:ext cx="2049780" cy="3675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400" b="1" baseline="0">
              <a:solidFill>
                <a:schemeClr val="tx1"/>
              </a:solidFill>
            </a:rPr>
            <a:t>Instructions</a:t>
          </a:r>
          <a:endParaRPr lang="en-GB" sz="1400" b="1">
            <a:solidFill>
              <a:schemeClr val="tx1"/>
            </a:solidFill>
          </a:endParaRPr>
        </a:p>
      </xdr:txBody>
    </xdr:sp>
    <xdr:clientData/>
  </xdr:twoCellAnchor>
  <xdr:twoCellAnchor>
    <xdr:from>
      <xdr:col>2</xdr:col>
      <xdr:colOff>427730</xdr:colOff>
      <xdr:row>14</xdr:row>
      <xdr:rowOff>25984</xdr:rowOff>
    </xdr:from>
    <xdr:to>
      <xdr:col>3</xdr:col>
      <xdr:colOff>424494</xdr:colOff>
      <xdr:row>21</xdr:row>
      <xdr:rowOff>5560</xdr:rowOff>
    </xdr:to>
    <xdr:cxnSp macro="">
      <xdr:nvCxnSpPr>
        <xdr:cNvPr id="19" name="Straight Connector 18">
          <a:extLst>
            <a:ext uri="{FF2B5EF4-FFF2-40B4-BE49-F238E27FC236}">
              <a16:creationId xmlns:a16="http://schemas.microsoft.com/office/drawing/2014/main" id="{00000000-0008-0000-0000-000013000000}"/>
            </a:ext>
          </a:extLst>
        </xdr:cNvPr>
        <xdr:cNvCxnSpPr>
          <a:stCxn id="15" idx="0"/>
          <a:endCxn id="11" idx="2"/>
        </xdr:cNvCxnSpPr>
      </xdr:nvCxnSpPr>
      <xdr:spPr>
        <a:xfrm flipV="1">
          <a:off x="1423773" y="2355527"/>
          <a:ext cx="660792" cy="1122576"/>
        </a:xfrm>
        <a:prstGeom prst="line">
          <a:avLst/>
        </a:prstGeom>
        <a:ln w="254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184985</xdr:colOff>
      <xdr:row>22</xdr:row>
      <xdr:rowOff>25950</xdr:rowOff>
    </xdr:from>
    <xdr:to>
      <xdr:col>10</xdr:col>
      <xdr:colOff>453041</xdr:colOff>
      <xdr:row>25</xdr:row>
      <xdr:rowOff>56605</xdr:rowOff>
    </xdr:to>
    <xdr:cxnSp macro="">
      <xdr:nvCxnSpPr>
        <xdr:cNvPr id="31" name="Straight Connector 30">
          <a:extLst>
            <a:ext uri="{FF2B5EF4-FFF2-40B4-BE49-F238E27FC236}">
              <a16:creationId xmlns:a16="http://schemas.microsoft.com/office/drawing/2014/main" id="{00000000-0008-0000-0000-00001F000000}"/>
            </a:ext>
          </a:extLst>
        </xdr:cNvPr>
        <xdr:cNvCxnSpPr>
          <a:stCxn id="15" idx="3"/>
          <a:endCxn id="17" idx="0"/>
        </xdr:cNvCxnSpPr>
      </xdr:nvCxnSpPr>
      <xdr:spPr>
        <a:xfrm>
          <a:off x="2509085" y="3661779"/>
          <a:ext cx="4252227" cy="520512"/>
        </a:xfrm>
        <a:prstGeom prst="line">
          <a:avLst/>
        </a:prstGeom>
        <a:ln w="254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605247</xdr:colOff>
      <xdr:row>21</xdr:row>
      <xdr:rowOff>26125</xdr:rowOff>
    </xdr:from>
    <xdr:to>
      <xdr:col>12</xdr:col>
      <xdr:colOff>577042</xdr:colOff>
      <xdr:row>22</xdr:row>
      <xdr:rowOff>78645</xdr:rowOff>
    </xdr:to>
    <xdr:cxnSp macro="">
      <xdr:nvCxnSpPr>
        <xdr:cNvPr id="41" name="Straight Connector 40">
          <a:extLst>
            <a:ext uri="{FF2B5EF4-FFF2-40B4-BE49-F238E27FC236}">
              <a16:creationId xmlns:a16="http://schemas.microsoft.com/office/drawing/2014/main" id="{00000000-0008-0000-0000-000029000000}"/>
            </a:ext>
          </a:extLst>
        </xdr:cNvPr>
        <xdr:cNvCxnSpPr>
          <a:stCxn id="36" idx="1"/>
          <a:endCxn id="35" idx="4"/>
        </xdr:cNvCxnSpPr>
      </xdr:nvCxnSpPr>
      <xdr:spPr>
        <a:xfrm flipH="1" flipV="1">
          <a:off x="6913518" y="3498668"/>
          <a:ext cx="1299853" cy="215806"/>
        </a:xfrm>
        <a:prstGeom prst="line">
          <a:avLst/>
        </a:prstGeom>
        <a:ln w="25400">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62287</xdr:colOff>
      <xdr:row>19</xdr:row>
      <xdr:rowOff>22155</xdr:rowOff>
    </xdr:from>
    <xdr:to>
      <xdr:col>14</xdr:col>
      <xdr:colOff>325967</xdr:colOff>
      <xdr:row>21</xdr:row>
      <xdr:rowOff>55033</xdr:rowOff>
    </xdr:to>
    <xdr:cxnSp macro="">
      <xdr:nvCxnSpPr>
        <xdr:cNvPr id="63" name="Straight Connector 62">
          <a:extLst>
            <a:ext uri="{FF2B5EF4-FFF2-40B4-BE49-F238E27FC236}">
              <a16:creationId xmlns:a16="http://schemas.microsoft.com/office/drawing/2014/main" id="{3CC887BA-59CA-4A99-8094-D0D69712D449}"/>
            </a:ext>
          </a:extLst>
        </xdr:cNvPr>
        <xdr:cNvCxnSpPr>
          <a:stCxn id="35" idx="5"/>
        </xdr:cNvCxnSpPr>
      </xdr:nvCxnSpPr>
      <xdr:spPr>
        <a:xfrm>
          <a:off x="9032720" y="3192922"/>
          <a:ext cx="263680" cy="363078"/>
        </a:xfrm>
        <a:prstGeom prst="line">
          <a:avLst/>
        </a:prstGeom>
        <a:ln w="25400">
          <a:solidFill>
            <a:schemeClr val="accent6">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338460</xdr:colOff>
      <xdr:row>4</xdr:row>
      <xdr:rowOff>29935</xdr:rowOff>
    </xdr:from>
    <xdr:to>
      <xdr:col>16</xdr:col>
      <xdr:colOff>91008</xdr:colOff>
      <xdr:row>35</xdr:row>
      <xdr:rowOff>57047</xdr:rowOff>
    </xdr:to>
    <xdr:grpSp>
      <xdr:nvGrpSpPr>
        <xdr:cNvPr id="73" name="Group 72">
          <a:extLst>
            <a:ext uri="{FF2B5EF4-FFF2-40B4-BE49-F238E27FC236}">
              <a16:creationId xmlns:a16="http://schemas.microsoft.com/office/drawing/2014/main" id="{2DB42696-31B3-43F1-B7BF-A3EC500268E3}"/>
            </a:ext>
          </a:extLst>
        </xdr:cNvPr>
        <xdr:cNvGrpSpPr/>
      </xdr:nvGrpSpPr>
      <xdr:grpSpPr>
        <a:xfrm>
          <a:off x="338460" y="724202"/>
          <a:ext cx="10052248" cy="5145212"/>
          <a:chOff x="338460" y="724202"/>
          <a:chExt cx="10052248" cy="5145212"/>
        </a:xfrm>
      </xdr:grpSpPr>
      <xdr:grpSp>
        <xdr:nvGrpSpPr>
          <xdr:cNvPr id="57" name="Group 56">
            <a:extLst>
              <a:ext uri="{FF2B5EF4-FFF2-40B4-BE49-F238E27FC236}">
                <a16:creationId xmlns:a16="http://schemas.microsoft.com/office/drawing/2014/main" id="{56FF2FBA-5536-472E-A664-40C84CCD46B7}"/>
              </a:ext>
            </a:extLst>
          </xdr:cNvPr>
          <xdr:cNvGrpSpPr/>
        </xdr:nvGrpSpPr>
        <xdr:grpSpPr>
          <a:xfrm>
            <a:off x="338460" y="724202"/>
            <a:ext cx="10052248" cy="5145212"/>
            <a:chOff x="240488" y="715736"/>
            <a:chExt cx="10044991" cy="5088969"/>
          </a:xfrm>
        </xdr:grpSpPr>
        <xdr:pic>
          <xdr:nvPicPr>
            <xdr:cNvPr id="12" name="Picture 11">
              <a:extLst>
                <a:ext uri="{FF2B5EF4-FFF2-40B4-BE49-F238E27FC236}">
                  <a16:creationId xmlns:a16="http://schemas.microsoft.com/office/drawing/2014/main" id="{53303927-BEA1-47A6-9445-A0E2C534D0C5}"/>
                </a:ext>
              </a:extLst>
            </xdr:cNvPr>
            <xdr:cNvPicPr>
              <a:picLocks noChangeAspect="1"/>
            </xdr:cNvPicPr>
          </xdr:nvPicPr>
          <xdr:blipFill>
            <a:blip xmlns:r="http://schemas.openxmlformats.org/officeDocument/2006/relationships" r:embed="rId2"/>
            <a:stretch>
              <a:fillRect/>
            </a:stretch>
          </xdr:blipFill>
          <xdr:spPr>
            <a:xfrm>
              <a:off x="281940" y="715736"/>
              <a:ext cx="9682592" cy="5088969"/>
            </a:xfrm>
            <a:prstGeom prst="rect">
              <a:avLst/>
            </a:prstGeom>
          </xdr:spPr>
        </xdr:pic>
        <xdr:sp macro="" textlink="">
          <xdr:nvSpPr>
            <xdr:cNvPr id="36" name="Rectangle 35">
              <a:extLst>
                <a:ext uri="{FF2B5EF4-FFF2-40B4-BE49-F238E27FC236}">
                  <a16:creationId xmlns:a16="http://schemas.microsoft.com/office/drawing/2014/main" id="{00000000-0008-0000-0000-000024000000}"/>
                </a:ext>
              </a:extLst>
            </xdr:cNvPr>
            <xdr:cNvSpPr/>
          </xdr:nvSpPr>
          <xdr:spPr>
            <a:xfrm>
              <a:off x="8115399" y="3519641"/>
              <a:ext cx="2170080" cy="367895"/>
            </a:xfrm>
            <a:prstGeom prst="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400" b="1">
                  <a:solidFill>
                    <a:schemeClr val="bg1"/>
                  </a:solidFill>
                </a:rPr>
                <a:t>Outputs</a:t>
              </a:r>
            </a:p>
          </xdr:txBody>
        </xdr:sp>
        <xdr:sp macro="" textlink="">
          <xdr:nvSpPr>
            <xdr:cNvPr id="11" name="Oval 10">
              <a:extLst>
                <a:ext uri="{FF2B5EF4-FFF2-40B4-BE49-F238E27FC236}">
                  <a16:creationId xmlns:a16="http://schemas.microsoft.com/office/drawing/2014/main" id="{00000000-0008-0000-0000-00000B000000}"/>
                </a:ext>
              </a:extLst>
            </xdr:cNvPr>
            <xdr:cNvSpPr/>
          </xdr:nvSpPr>
          <xdr:spPr>
            <a:xfrm>
              <a:off x="1986593" y="1242867"/>
              <a:ext cx="1355866" cy="2203549"/>
            </a:xfrm>
            <a:prstGeom prst="ellipse">
              <a:avLst/>
            </a:prstGeom>
            <a:noFill/>
            <a:ln w="2540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16" name="Oval 15">
              <a:extLst>
                <a:ext uri="{FF2B5EF4-FFF2-40B4-BE49-F238E27FC236}">
                  <a16:creationId xmlns:a16="http://schemas.microsoft.com/office/drawing/2014/main" id="{00000000-0008-0000-0000-000010000000}"/>
                </a:ext>
              </a:extLst>
            </xdr:cNvPr>
            <xdr:cNvSpPr/>
          </xdr:nvSpPr>
          <xdr:spPr>
            <a:xfrm>
              <a:off x="3976880" y="4223783"/>
              <a:ext cx="810981" cy="1265338"/>
            </a:xfrm>
            <a:prstGeom prst="ellipse">
              <a:avLst/>
            </a:prstGeom>
            <a:noFill/>
            <a:ln w="2540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17" name="Oval 16">
              <a:extLst>
                <a:ext uri="{FF2B5EF4-FFF2-40B4-BE49-F238E27FC236}">
                  <a16:creationId xmlns:a16="http://schemas.microsoft.com/office/drawing/2014/main" id="{00000000-0008-0000-0000-000011000000}"/>
                </a:ext>
              </a:extLst>
            </xdr:cNvPr>
            <xdr:cNvSpPr/>
          </xdr:nvSpPr>
          <xdr:spPr>
            <a:xfrm>
              <a:off x="6257305" y="4171406"/>
              <a:ext cx="812069" cy="1338517"/>
            </a:xfrm>
            <a:prstGeom prst="ellipse">
              <a:avLst/>
            </a:prstGeom>
            <a:noFill/>
            <a:ln w="2540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15" name="Rectangle 14">
              <a:extLst>
                <a:ext uri="{FF2B5EF4-FFF2-40B4-BE49-F238E27FC236}">
                  <a16:creationId xmlns:a16="http://schemas.microsoft.com/office/drawing/2014/main" id="{00000000-0008-0000-0000-00000F000000}"/>
                </a:ext>
              </a:extLst>
            </xdr:cNvPr>
            <xdr:cNvSpPr/>
          </xdr:nvSpPr>
          <xdr:spPr>
            <a:xfrm>
              <a:off x="240488" y="3467218"/>
              <a:ext cx="2170625" cy="367351"/>
            </a:xfrm>
            <a:prstGeom prst="rect">
              <a:avLst/>
            </a:prstGeom>
            <a:solidFill>
              <a:schemeClr val="accent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400" b="1">
                  <a:solidFill>
                    <a:schemeClr val="bg1"/>
                  </a:solidFill>
                </a:rPr>
                <a:t>Inputs</a:t>
              </a:r>
            </a:p>
          </xdr:txBody>
        </xdr:sp>
        <xdr:cxnSp macro="">
          <xdr:nvCxnSpPr>
            <xdr:cNvPr id="23" name="Straight Connector 22">
              <a:extLst>
                <a:ext uri="{FF2B5EF4-FFF2-40B4-BE49-F238E27FC236}">
                  <a16:creationId xmlns:a16="http://schemas.microsoft.com/office/drawing/2014/main" id="{00000000-0008-0000-0000-000017000000}"/>
                </a:ext>
              </a:extLst>
            </xdr:cNvPr>
            <xdr:cNvCxnSpPr>
              <a:stCxn id="15" idx="2"/>
              <a:endCxn id="16" idx="2"/>
            </xdr:cNvCxnSpPr>
          </xdr:nvCxnSpPr>
          <xdr:spPr>
            <a:xfrm>
              <a:off x="1325529" y="3834569"/>
              <a:ext cx="2651351" cy="1021884"/>
            </a:xfrm>
            <a:prstGeom prst="line">
              <a:avLst/>
            </a:prstGeom>
            <a:ln w="254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35" name="Oval 34">
              <a:extLst>
                <a:ext uri="{FF2B5EF4-FFF2-40B4-BE49-F238E27FC236}">
                  <a16:creationId xmlns:a16="http://schemas.microsoft.com/office/drawing/2014/main" id="{00000000-0008-0000-0000-000023000000}"/>
                </a:ext>
              </a:extLst>
            </xdr:cNvPr>
            <xdr:cNvSpPr/>
          </xdr:nvSpPr>
          <xdr:spPr>
            <a:xfrm>
              <a:off x="3827417" y="1232263"/>
              <a:ext cx="5976257" cy="2255520"/>
            </a:xfrm>
            <a:prstGeom prst="ellipse">
              <a:avLst/>
            </a:prstGeom>
            <a:noFill/>
            <a:ln w="254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49" name="Oval 48">
              <a:extLst>
                <a:ext uri="{FF2B5EF4-FFF2-40B4-BE49-F238E27FC236}">
                  <a16:creationId xmlns:a16="http://schemas.microsoft.com/office/drawing/2014/main" id="{3C5EC9F3-4F79-4B87-A83B-18B747698BBD}"/>
                </a:ext>
              </a:extLst>
            </xdr:cNvPr>
            <xdr:cNvSpPr/>
          </xdr:nvSpPr>
          <xdr:spPr>
            <a:xfrm>
              <a:off x="8563247" y="4213316"/>
              <a:ext cx="810981" cy="1338517"/>
            </a:xfrm>
            <a:prstGeom prst="ellipse">
              <a:avLst/>
            </a:prstGeom>
            <a:noFill/>
            <a:ln w="2540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grpSp>
      <xdr:cxnSp macro="">
        <xdr:nvCxnSpPr>
          <xdr:cNvPr id="50" name="Straight Connector 49">
            <a:extLst>
              <a:ext uri="{FF2B5EF4-FFF2-40B4-BE49-F238E27FC236}">
                <a16:creationId xmlns:a16="http://schemas.microsoft.com/office/drawing/2014/main" id="{29016D53-E967-4DBC-A291-36C55E778549}"/>
              </a:ext>
            </a:extLst>
          </xdr:cNvPr>
          <xdr:cNvCxnSpPr>
            <a:stCxn id="15" idx="3"/>
            <a:endCxn id="49" idx="0"/>
          </xdr:cNvCxnSpPr>
        </xdr:nvCxnSpPr>
        <xdr:spPr>
          <a:xfrm>
            <a:off x="2509085" y="3692017"/>
            <a:ext cx="6563672" cy="567865"/>
          </a:xfrm>
          <a:prstGeom prst="line">
            <a:avLst/>
          </a:prstGeom>
          <a:ln w="254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59" name="Straight Connector 58">
            <a:extLst>
              <a:ext uri="{FF2B5EF4-FFF2-40B4-BE49-F238E27FC236}">
                <a16:creationId xmlns:a16="http://schemas.microsoft.com/office/drawing/2014/main" id="{EE59A54B-E6FA-4CB8-A2FA-79910051971E}"/>
              </a:ext>
            </a:extLst>
          </xdr:cNvPr>
          <xdr:cNvCxnSpPr/>
        </xdr:nvCxnSpPr>
        <xdr:spPr>
          <a:xfrm>
            <a:off x="2527300" y="3716867"/>
            <a:ext cx="4216400" cy="478366"/>
          </a:xfrm>
          <a:prstGeom prst="line">
            <a:avLst/>
          </a:prstGeom>
          <a:ln w="254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69" name="Straight Connector 68">
            <a:extLst>
              <a:ext uri="{FF2B5EF4-FFF2-40B4-BE49-F238E27FC236}">
                <a16:creationId xmlns:a16="http://schemas.microsoft.com/office/drawing/2014/main" id="{08AA83C9-4D97-4E2C-8DAD-4A17BE5B7139}"/>
              </a:ext>
            </a:extLst>
          </xdr:cNvPr>
          <xdr:cNvCxnSpPr>
            <a:stCxn id="11" idx="2"/>
            <a:endCxn id="15" idx="0"/>
          </xdr:cNvCxnSpPr>
        </xdr:nvCxnSpPr>
        <xdr:spPr>
          <a:xfrm flipH="1">
            <a:off x="1424557" y="2371110"/>
            <a:ext cx="661269" cy="1134983"/>
          </a:xfrm>
          <a:prstGeom prst="line">
            <a:avLst/>
          </a:prstGeom>
          <a:ln w="254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319069</xdr:colOff>
      <xdr:row>4</xdr:row>
      <xdr:rowOff>107443</xdr:rowOff>
    </xdr:from>
    <xdr:to>
      <xdr:col>7</xdr:col>
      <xdr:colOff>309562</xdr:colOff>
      <xdr:row>30</xdr:row>
      <xdr:rowOff>10886</xdr:rowOff>
    </xdr:to>
    <xdr:grpSp>
      <xdr:nvGrpSpPr>
        <xdr:cNvPr id="19" name="Group 18">
          <a:extLst>
            <a:ext uri="{FF2B5EF4-FFF2-40B4-BE49-F238E27FC236}">
              <a16:creationId xmlns:a16="http://schemas.microsoft.com/office/drawing/2014/main" id="{118A24F1-859C-4006-A776-47C52C5F7CEB}"/>
            </a:ext>
          </a:extLst>
        </xdr:cNvPr>
        <xdr:cNvGrpSpPr/>
      </xdr:nvGrpSpPr>
      <xdr:grpSpPr>
        <a:xfrm>
          <a:off x="319069" y="847672"/>
          <a:ext cx="5912322" cy="4763914"/>
          <a:chOff x="647693" y="826582"/>
          <a:chExt cx="6092971" cy="4493131"/>
        </a:xfrm>
      </xdr:grpSpPr>
      <xdr:sp macro="" textlink="">
        <xdr:nvSpPr>
          <xdr:cNvPr id="2" name="Rectangle 11">
            <a:extLst>
              <a:ext uri="{FF2B5EF4-FFF2-40B4-BE49-F238E27FC236}">
                <a16:creationId xmlns:a16="http://schemas.microsoft.com/office/drawing/2014/main" id="{0B89B390-F0F9-485F-B223-61D4DE4B7A98}"/>
              </a:ext>
            </a:extLst>
          </xdr:cNvPr>
          <xdr:cNvSpPr/>
        </xdr:nvSpPr>
        <xdr:spPr>
          <a:xfrm>
            <a:off x="647693" y="968799"/>
            <a:ext cx="6092971" cy="4350914"/>
          </a:xfrm>
          <a:prstGeom prst="rect">
            <a:avLst/>
          </a:prstGeom>
          <a:no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3" name="TextBox 12">
            <a:extLst>
              <a:ext uri="{FF2B5EF4-FFF2-40B4-BE49-F238E27FC236}">
                <a16:creationId xmlns:a16="http://schemas.microsoft.com/office/drawing/2014/main" id="{8B98A770-2CEC-4933-83C1-384ECE57532B}"/>
              </a:ext>
            </a:extLst>
          </xdr:cNvPr>
          <xdr:cNvSpPr txBox="1"/>
        </xdr:nvSpPr>
        <xdr:spPr>
          <a:xfrm>
            <a:off x="925796" y="826582"/>
            <a:ext cx="993058" cy="2570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pPr algn="ctr"/>
            <a:r>
              <a:rPr lang="en-GB" sz="1200" b="1">
                <a:solidFill>
                  <a:schemeClr val="accent1"/>
                </a:solidFill>
              </a:rPr>
              <a:t>Parameters</a:t>
            </a:r>
          </a:p>
        </xdr:txBody>
      </xdr:sp>
    </xdr:grpSp>
    <xdr:clientData/>
  </xdr:twoCellAnchor>
  <xdr:twoCellAnchor editAs="absolute">
    <xdr:from>
      <xdr:col>0</xdr:col>
      <xdr:colOff>285750</xdr:colOff>
      <xdr:row>0</xdr:row>
      <xdr:rowOff>111761</xdr:rowOff>
    </xdr:from>
    <xdr:to>
      <xdr:col>1</xdr:col>
      <xdr:colOff>843867</xdr:colOff>
      <xdr:row>2</xdr:row>
      <xdr:rowOff>58430</xdr:rowOff>
    </xdr:to>
    <xdr:grpSp>
      <xdr:nvGrpSpPr>
        <xdr:cNvPr id="4" name="Group 3">
          <a:hlinkClick xmlns:r="http://schemas.openxmlformats.org/officeDocument/2006/relationships" r:id="rId1"/>
          <a:extLst>
            <a:ext uri="{FF2B5EF4-FFF2-40B4-BE49-F238E27FC236}">
              <a16:creationId xmlns:a16="http://schemas.microsoft.com/office/drawing/2014/main" id="{C98D77A7-3428-4FCB-94C2-0A0A46702CAA}"/>
            </a:ext>
          </a:extLst>
        </xdr:cNvPr>
        <xdr:cNvGrpSpPr/>
      </xdr:nvGrpSpPr>
      <xdr:grpSpPr>
        <a:xfrm>
          <a:off x="285750" y="111761"/>
          <a:ext cx="960888" cy="316783"/>
          <a:chOff x="2292668" y="2740184"/>
          <a:chExt cx="1005208" cy="328666"/>
        </a:xfrm>
        <a:effectLst>
          <a:outerShdw blurRad="50800" dist="50800" dir="5400000" algn="ctr" rotWithShape="0">
            <a:srgbClr val="000000">
              <a:alpha val="0"/>
            </a:srgbClr>
          </a:outerShdw>
        </a:effectLst>
      </xdr:grpSpPr>
      <xdr:sp macro="" textlink="">
        <xdr:nvSpPr>
          <xdr:cNvPr id="5" name="Tytuł 1">
            <a:extLst>
              <a:ext uri="{FF2B5EF4-FFF2-40B4-BE49-F238E27FC236}">
                <a16:creationId xmlns:a16="http://schemas.microsoft.com/office/drawing/2014/main" id="{67B74FC4-96E4-4B2F-B6F0-51E761597A3E}"/>
              </a:ext>
            </a:extLst>
          </xdr:cNvPr>
          <xdr:cNvSpPr txBox="1">
            <a:spLocks/>
          </xdr:cNvSpPr>
        </xdr:nvSpPr>
        <xdr:spPr>
          <a:xfrm>
            <a:off x="2364116" y="2740184"/>
            <a:ext cx="874029" cy="225165"/>
          </a:xfrm>
          <a:prstGeom prst="rect">
            <a:avLst/>
          </a:prstGeom>
        </xdr:spPr>
        <xdr:txBody>
          <a:bodyPr vert="horz" wrap="square" lIns="0" tIns="0" rIns="0" bIns="0" rtlCol="0" anchor="ctr">
            <a:noAutofit/>
          </a:bodyPr>
          <a:lstStyle>
            <a:defPPr>
              <a:defRPr lang="pl-PL"/>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r>
              <a:rPr lang="pl-PL" sz="1300" b="1">
                <a:latin typeface="Ebrima" panose="02000000000000000000" pitchFamily="2" charset="0"/>
                <a:ea typeface="Ebrima" panose="02000000000000000000" pitchFamily="2" charset="0"/>
                <a:cs typeface="Ebrima" panose="02000000000000000000" pitchFamily="2" charset="0"/>
              </a:rPr>
              <a:t>3Blocks</a:t>
            </a:r>
            <a:r>
              <a:rPr lang="en-GB" sz="300" b="1">
                <a:latin typeface="Ebrima" panose="02000000000000000000" pitchFamily="2" charset="0"/>
                <a:ea typeface="Ebrima" panose="02000000000000000000" pitchFamily="2" charset="0"/>
                <a:cs typeface="Ebrima" panose="02000000000000000000" pitchFamily="2" charset="0"/>
              </a:rPr>
              <a:t> </a:t>
            </a:r>
            <a:r>
              <a:rPr lang="pl-PL" sz="600" b="1">
                <a:latin typeface="Ebrima" panose="02000000000000000000" pitchFamily="2" charset="0"/>
                <a:ea typeface="Ebrima" panose="02000000000000000000" pitchFamily="2" charset="0"/>
                <a:cs typeface="Ebrima" panose="02000000000000000000" pitchFamily="2" charset="0"/>
              </a:rPr>
              <a:t>®</a:t>
            </a:r>
          </a:p>
        </xdr:txBody>
      </xdr:sp>
      <xdr:grpSp>
        <xdr:nvGrpSpPr>
          <xdr:cNvPr id="6" name="Group 5">
            <a:extLst>
              <a:ext uri="{FF2B5EF4-FFF2-40B4-BE49-F238E27FC236}">
                <a16:creationId xmlns:a16="http://schemas.microsoft.com/office/drawing/2014/main" id="{1B307168-B56A-4A95-9986-B2D8C63B14A8}"/>
              </a:ext>
            </a:extLst>
          </xdr:cNvPr>
          <xdr:cNvGrpSpPr>
            <a:grpSpLocks noChangeAspect="1"/>
          </xdr:cNvGrpSpPr>
        </xdr:nvGrpSpPr>
        <xdr:grpSpPr>
          <a:xfrm>
            <a:off x="2292668" y="2949307"/>
            <a:ext cx="1005208" cy="119543"/>
            <a:chOff x="2040001" y="3321847"/>
            <a:chExt cx="4540706" cy="540000"/>
          </a:xfrm>
        </xdr:grpSpPr>
        <xdr:sp macro="" textlink="">
          <xdr:nvSpPr>
            <xdr:cNvPr id="7" name="Prostokąt 15">
              <a:extLst>
                <a:ext uri="{FF2B5EF4-FFF2-40B4-BE49-F238E27FC236}">
                  <a16:creationId xmlns:a16="http://schemas.microsoft.com/office/drawing/2014/main" id="{1F8919D5-99DB-4931-A5F0-96527C7FEC0A}"/>
                </a:ext>
              </a:extLst>
            </xdr:cNvPr>
            <xdr:cNvSpPr>
              <a:spLocks noChangeAspect="1"/>
            </xdr:cNvSpPr>
          </xdr:nvSpPr>
          <xdr:spPr>
            <a:xfrm>
              <a:off x="2040001" y="3321847"/>
              <a:ext cx="1440000" cy="540000"/>
            </a:xfrm>
            <a:prstGeom prst="rect">
              <a:avLst/>
            </a:prstGeom>
            <a:solidFill>
              <a:srgbClr val="FF616C"/>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8" name="Prostokąt 16">
              <a:extLst>
                <a:ext uri="{FF2B5EF4-FFF2-40B4-BE49-F238E27FC236}">
                  <a16:creationId xmlns:a16="http://schemas.microsoft.com/office/drawing/2014/main" id="{20E0A584-F7EC-48F4-BF59-CC6F58AA3B75}"/>
                </a:ext>
              </a:extLst>
            </xdr:cNvPr>
            <xdr:cNvSpPr>
              <a:spLocks noChangeAspect="1"/>
            </xdr:cNvSpPr>
          </xdr:nvSpPr>
          <xdr:spPr>
            <a:xfrm>
              <a:off x="5140707" y="3321847"/>
              <a:ext cx="1440000" cy="540000"/>
            </a:xfrm>
            <a:prstGeom prst="rect">
              <a:avLst/>
            </a:prstGeom>
            <a:solidFill>
              <a:srgbClr val="45A3F9"/>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9" name="Prostokąt 17">
              <a:extLst>
                <a:ext uri="{FF2B5EF4-FFF2-40B4-BE49-F238E27FC236}">
                  <a16:creationId xmlns:a16="http://schemas.microsoft.com/office/drawing/2014/main" id="{822FFB22-DB33-4CF1-9427-CD48A1345FF1}"/>
                </a:ext>
              </a:extLst>
            </xdr:cNvPr>
            <xdr:cNvSpPr>
              <a:spLocks noChangeAspect="1"/>
            </xdr:cNvSpPr>
          </xdr:nvSpPr>
          <xdr:spPr>
            <a:xfrm>
              <a:off x="3590354" y="3321847"/>
              <a:ext cx="1440000" cy="540000"/>
            </a:xfrm>
            <a:prstGeom prst="rect">
              <a:avLst/>
            </a:prstGeom>
            <a:solidFill>
              <a:srgbClr val="FCC220"/>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grpSp>
    </xdr:grpSp>
    <xdr:clientData/>
  </xdr:twoCellAnchor>
  <xdr:twoCellAnchor editAs="absolute">
    <xdr:from>
      <xdr:col>5</xdr:col>
      <xdr:colOff>699236</xdr:colOff>
      <xdr:row>0</xdr:row>
      <xdr:rowOff>133620</xdr:rowOff>
    </xdr:from>
    <xdr:to>
      <xdr:col>8</xdr:col>
      <xdr:colOff>638185</xdr:colOff>
      <xdr:row>2</xdr:row>
      <xdr:rowOff>91969</xdr:rowOff>
    </xdr:to>
    <xdr:sp macro="" textlink="">
      <xdr:nvSpPr>
        <xdr:cNvPr id="10" name="TextBox 9">
          <a:extLst>
            <a:ext uri="{FF2B5EF4-FFF2-40B4-BE49-F238E27FC236}">
              <a16:creationId xmlns:a16="http://schemas.microsoft.com/office/drawing/2014/main" id="{AF3E6911-AB9E-40B4-BA48-38F04BA0266C}"/>
            </a:ext>
          </a:extLst>
        </xdr:cNvPr>
        <xdr:cNvSpPr txBox="1"/>
      </xdr:nvSpPr>
      <xdr:spPr>
        <a:xfrm>
          <a:off x="4780699" y="133620"/>
          <a:ext cx="2696436" cy="3202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accent1">
                  <a:lumMod val="75000"/>
                </a:schemeClr>
              </a:solidFill>
            </a:rPr>
            <a:t>Gross PAA Eligibility Check - v2.1</a:t>
          </a:r>
          <a:endParaRPr lang="en-GB" sz="1400" b="1">
            <a:solidFill>
              <a:schemeClr val="accent1">
                <a:lumMod val="75000"/>
              </a:schemeClr>
            </a:solidFill>
          </a:endParaRPr>
        </a:p>
      </xdr:txBody>
    </xdr:sp>
    <xdr:clientData/>
  </xdr:twoCellAnchor>
  <xdr:twoCellAnchor editAs="absolute">
    <xdr:from>
      <xdr:col>8</xdr:col>
      <xdr:colOff>884986</xdr:colOff>
      <xdr:row>0</xdr:row>
      <xdr:rowOff>97425</xdr:rowOff>
    </xdr:from>
    <xdr:to>
      <xdr:col>11</xdr:col>
      <xdr:colOff>93586</xdr:colOff>
      <xdr:row>2</xdr:row>
      <xdr:rowOff>91969</xdr:rowOff>
    </xdr:to>
    <xdr:sp macro="" textlink="">
      <xdr:nvSpPr>
        <xdr:cNvPr id="11" name="TextBox 10">
          <a:hlinkClick xmlns:r="http://schemas.openxmlformats.org/officeDocument/2006/relationships" r:id="rId1"/>
          <a:extLst>
            <a:ext uri="{FF2B5EF4-FFF2-40B4-BE49-F238E27FC236}">
              <a16:creationId xmlns:a16="http://schemas.microsoft.com/office/drawing/2014/main" id="{C455E1B5-6826-4EEF-B2CE-7C497B998C9C}"/>
            </a:ext>
          </a:extLst>
        </xdr:cNvPr>
        <xdr:cNvSpPr txBox="1"/>
      </xdr:nvSpPr>
      <xdr:spPr>
        <a:xfrm>
          <a:off x="7723936" y="97425"/>
          <a:ext cx="1966088" cy="3564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GB" sz="1400" b="1">
              <a:solidFill>
                <a:schemeClr val="tx1">
                  <a:lumMod val="65000"/>
                  <a:lumOff val="35000"/>
                </a:schemeClr>
              </a:solidFill>
            </a:rPr>
            <a:t>[ www.3blocks.co ]</a:t>
          </a:r>
        </a:p>
      </xdr:txBody>
    </xdr:sp>
    <xdr:clientData/>
  </xdr:twoCellAnchor>
  <xdr:twoCellAnchor editAs="absolute">
    <xdr:from>
      <xdr:col>2</xdr:col>
      <xdr:colOff>769937</xdr:colOff>
      <xdr:row>0</xdr:row>
      <xdr:rowOff>133620</xdr:rowOff>
    </xdr:from>
    <xdr:to>
      <xdr:col>5</xdr:col>
      <xdr:colOff>168064</xdr:colOff>
      <xdr:row>2</xdr:row>
      <xdr:rowOff>91969</xdr:rowOff>
    </xdr:to>
    <xdr:sp macro="" textlink="">
      <xdr:nvSpPr>
        <xdr:cNvPr id="12" name="TextBox 20">
          <a:extLst>
            <a:ext uri="{FF2B5EF4-FFF2-40B4-BE49-F238E27FC236}">
              <a16:creationId xmlns:a16="http://schemas.microsoft.com/office/drawing/2014/main" id="{DF7A2420-64DC-4256-9234-ADB3ED731FD0}"/>
            </a:ext>
          </a:extLst>
        </xdr:cNvPr>
        <xdr:cNvSpPr txBox="1"/>
      </xdr:nvSpPr>
      <xdr:spPr>
        <a:xfrm>
          <a:off x="2093912" y="133620"/>
          <a:ext cx="2155615" cy="3202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tx1"/>
              </a:solidFill>
            </a:rPr>
            <a:t>2-year coverage period</a:t>
          </a:r>
          <a:endParaRPr lang="en-GB" sz="1400" b="1">
            <a:solidFill>
              <a:schemeClr val="tx1"/>
            </a:solidFill>
          </a:endParaRPr>
        </a:p>
      </xdr:txBody>
    </xdr:sp>
    <xdr:clientData/>
  </xdr:twoCellAnchor>
  <xdr:twoCellAnchor editAs="absolute">
    <xdr:from>
      <xdr:col>8</xdr:col>
      <xdr:colOff>72170</xdr:colOff>
      <xdr:row>4</xdr:row>
      <xdr:rowOff>147638</xdr:rowOff>
    </xdr:from>
    <xdr:to>
      <xdr:col>14</xdr:col>
      <xdr:colOff>657126</xdr:colOff>
      <xdr:row>31</xdr:row>
      <xdr:rowOff>44533</xdr:rowOff>
    </xdr:to>
    <xdr:grpSp>
      <xdr:nvGrpSpPr>
        <xdr:cNvPr id="13" name="Group 12">
          <a:extLst>
            <a:ext uri="{FF2B5EF4-FFF2-40B4-BE49-F238E27FC236}">
              <a16:creationId xmlns:a16="http://schemas.microsoft.com/office/drawing/2014/main" id="{8ADC12EC-C269-46FC-AD94-2102B7B924CE}"/>
            </a:ext>
          </a:extLst>
        </xdr:cNvPr>
        <xdr:cNvGrpSpPr/>
      </xdr:nvGrpSpPr>
      <xdr:grpSpPr>
        <a:xfrm>
          <a:off x="6913841" y="887867"/>
          <a:ext cx="6104014" cy="4942423"/>
          <a:chOff x="5878287" y="968829"/>
          <a:chExt cx="5466470" cy="3864429"/>
        </a:xfrm>
      </xdr:grpSpPr>
      <xdr:graphicFrame macro="">
        <xdr:nvGraphicFramePr>
          <xdr:cNvPr id="14" name="Wykres 2">
            <a:extLst>
              <a:ext uri="{FF2B5EF4-FFF2-40B4-BE49-F238E27FC236}">
                <a16:creationId xmlns:a16="http://schemas.microsoft.com/office/drawing/2014/main" id="{57837A41-DA91-434B-8838-A9700E739E6F}"/>
              </a:ext>
            </a:extLst>
          </xdr:cNvPr>
          <xdr:cNvGraphicFramePr>
            <a:graphicFrameLocks/>
          </xdr:cNvGraphicFramePr>
        </xdr:nvGraphicFramePr>
        <xdr:xfrm>
          <a:off x="5878287" y="1062839"/>
          <a:ext cx="5466470" cy="3770419"/>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5" name="TextBox 31">
            <a:extLst>
              <a:ext uri="{FF2B5EF4-FFF2-40B4-BE49-F238E27FC236}">
                <a16:creationId xmlns:a16="http://schemas.microsoft.com/office/drawing/2014/main" id="{6931D109-13AA-4C47-A53A-B9112ED6390F}"/>
              </a:ext>
            </a:extLst>
          </xdr:cNvPr>
          <xdr:cNvSpPr txBox="1"/>
        </xdr:nvSpPr>
        <xdr:spPr>
          <a:xfrm>
            <a:off x="6346082" y="968829"/>
            <a:ext cx="2433650" cy="176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r>
              <a:rPr lang="en-GB" sz="1200" b="1"/>
              <a:t>LFRC under</a:t>
            </a:r>
            <a:r>
              <a:rPr lang="en-GB" sz="1200" b="1" baseline="0"/>
              <a:t> GMM and PAA</a:t>
            </a:r>
            <a:endParaRPr lang="en-GB" sz="1200" b="1"/>
          </a:p>
        </xdr:txBody>
      </xdr:sp>
    </xdr:grpSp>
    <xdr:clientData/>
  </xdr:twoCellAnchor>
  <xdr:twoCellAnchor editAs="absolute">
    <xdr:from>
      <xdr:col>15</xdr:col>
      <xdr:colOff>118028</xdr:colOff>
      <xdr:row>4</xdr:row>
      <xdr:rowOff>161925</xdr:rowOff>
    </xdr:from>
    <xdr:to>
      <xdr:col>21</xdr:col>
      <xdr:colOff>489578</xdr:colOff>
      <xdr:row>31</xdr:row>
      <xdr:rowOff>44533</xdr:rowOff>
    </xdr:to>
    <xdr:grpSp>
      <xdr:nvGrpSpPr>
        <xdr:cNvPr id="16" name="Group 15">
          <a:extLst>
            <a:ext uri="{FF2B5EF4-FFF2-40B4-BE49-F238E27FC236}">
              <a16:creationId xmlns:a16="http://schemas.microsoft.com/office/drawing/2014/main" id="{72FD3EBF-A8B1-4D89-B010-E8B80BAF22D4}"/>
            </a:ext>
          </a:extLst>
        </xdr:cNvPr>
        <xdr:cNvGrpSpPr/>
      </xdr:nvGrpSpPr>
      <xdr:grpSpPr>
        <a:xfrm>
          <a:off x="13398599" y="902154"/>
          <a:ext cx="5890608" cy="4928136"/>
          <a:chOff x="11826077" y="968829"/>
          <a:chExt cx="5466470" cy="3824547"/>
        </a:xfrm>
      </xdr:grpSpPr>
      <xdr:graphicFrame macro="">
        <xdr:nvGraphicFramePr>
          <xdr:cNvPr id="17" name="Wykres 2">
            <a:extLst>
              <a:ext uri="{FF2B5EF4-FFF2-40B4-BE49-F238E27FC236}">
                <a16:creationId xmlns:a16="http://schemas.microsoft.com/office/drawing/2014/main" id="{C4CA4237-97B4-4747-8FBF-18CE8EA2B1AD}"/>
              </a:ext>
            </a:extLst>
          </xdr:cNvPr>
          <xdr:cNvGraphicFramePr>
            <a:graphicFrameLocks/>
          </xdr:cNvGraphicFramePr>
        </xdr:nvGraphicFramePr>
        <xdr:xfrm>
          <a:off x="11826077" y="1092753"/>
          <a:ext cx="5466470" cy="3700623"/>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18" name="TextBox 34">
            <a:extLst>
              <a:ext uri="{FF2B5EF4-FFF2-40B4-BE49-F238E27FC236}">
                <a16:creationId xmlns:a16="http://schemas.microsoft.com/office/drawing/2014/main" id="{F3A4409F-0177-44A0-A1AE-CA3C19995EA0}"/>
              </a:ext>
            </a:extLst>
          </xdr:cNvPr>
          <xdr:cNvSpPr txBox="1"/>
        </xdr:nvSpPr>
        <xdr:spPr>
          <a:xfrm>
            <a:off x="12303097" y="968829"/>
            <a:ext cx="4033943" cy="176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pPr marL="0" marR="0" lvl="0" indent="0" defTabSz="914400" eaLnBrk="1" fontAlgn="auto" latinLnBrk="0" hangingPunct="1">
              <a:lnSpc>
                <a:spcPct val="100000"/>
              </a:lnSpc>
              <a:spcBef>
                <a:spcPts val="0"/>
              </a:spcBef>
              <a:spcAft>
                <a:spcPts val="0"/>
              </a:spcAft>
              <a:buClrTx/>
              <a:buSzTx/>
              <a:buFontTx/>
              <a:buNone/>
              <a:tabLst/>
              <a:defRPr/>
            </a:pPr>
            <a:r>
              <a:rPr lang="en-GB" sz="1200" b="1">
                <a:solidFill>
                  <a:schemeClr val="dk1"/>
                </a:solidFill>
                <a:effectLst/>
                <a:latin typeface="+mn-lt"/>
                <a:ea typeface="+mn-ea"/>
                <a:cs typeface="+mn-cs"/>
              </a:rPr>
              <a:t>Coverage</a:t>
            </a:r>
            <a:r>
              <a:rPr lang="en-GB" sz="1200" b="1" baseline="0">
                <a:solidFill>
                  <a:schemeClr val="dk1"/>
                </a:solidFill>
                <a:effectLst/>
                <a:latin typeface="+mn-lt"/>
                <a:ea typeface="+mn-ea"/>
                <a:cs typeface="+mn-cs"/>
              </a:rPr>
              <a:t> units and risk distribution (including lapses)</a:t>
            </a:r>
            <a:endParaRPr lang="en-GB" sz="1200">
              <a:effectLst/>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304799</xdr:colOff>
      <xdr:row>4</xdr:row>
      <xdr:rowOff>78870</xdr:rowOff>
    </xdr:from>
    <xdr:to>
      <xdr:col>7</xdr:col>
      <xdr:colOff>328613</xdr:colOff>
      <xdr:row>30</xdr:row>
      <xdr:rowOff>5443</xdr:rowOff>
    </xdr:to>
    <xdr:grpSp>
      <xdr:nvGrpSpPr>
        <xdr:cNvPr id="21" name="Group 20">
          <a:extLst>
            <a:ext uri="{FF2B5EF4-FFF2-40B4-BE49-F238E27FC236}">
              <a16:creationId xmlns:a16="http://schemas.microsoft.com/office/drawing/2014/main" id="{DD14D5CF-03DD-4B3F-970D-B840432757E8}"/>
            </a:ext>
          </a:extLst>
        </xdr:cNvPr>
        <xdr:cNvGrpSpPr/>
      </xdr:nvGrpSpPr>
      <xdr:grpSpPr>
        <a:xfrm>
          <a:off x="304799" y="819099"/>
          <a:ext cx="5945643" cy="4787044"/>
          <a:chOff x="704848" y="826582"/>
          <a:chExt cx="6092971" cy="4493131"/>
        </a:xfrm>
      </xdr:grpSpPr>
      <xdr:sp macro="" textlink="">
        <xdr:nvSpPr>
          <xdr:cNvPr id="2" name="Rectangle 11">
            <a:extLst>
              <a:ext uri="{FF2B5EF4-FFF2-40B4-BE49-F238E27FC236}">
                <a16:creationId xmlns:a16="http://schemas.microsoft.com/office/drawing/2014/main" id="{C132C300-4B1F-4276-AB47-37CE73A7F1D2}"/>
              </a:ext>
            </a:extLst>
          </xdr:cNvPr>
          <xdr:cNvSpPr/>
        </xdr:nvSpPr>
        <xdr:spPr>
          <a:xfrm>
            <a:off x="704848" y="968799"/>
            <a:ext cx="6092971" cy="4350914"/>
          </a:xfrm>
          <a:prstGeom prst="rect">
            <a:avLst/>
          </a:prstGeom>
          <a:no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3" name="TextBox 12">
            <a:extLst>
              <a:ext uri="{FF2B5EF4-FFF2-40B4-BE49-F238E27FC236}">
                <a16:creationId xmlns:a16="http://schemas.microsoft.com/office/drawing/2014/main" id="{97060981-BB11-4F36-AD5F-B96430715B17}"/>
              </a:ext>
            </a:extLst>
          </xdr:cNvPr>
          <xdr:cNvSpPr txBox="1"/>
        </xdr:nvSpPr>
        <xdr:spPr>
          <a:xfrm>
            <a:off x="925796" y="826582"/>
            <a:ext cx="993058" cy="2570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pPr algn="ctr"/>
            <a:r>
              <a:rPr lang="en-GB" sz="1100" b="1">
                <a:solidFill>
                  <a:schemeClr val="accent1"/>
                </a:solidFill>
              </a:rPr>
              <a:t>Parameters</a:t>
            </a:r>
          </a:p>
        </xdr:txBody>
      </xdr:sp>
    </xdr:grpSp>
    <xdr:clientData/>
  </xdr:twoCellAnchor>
  <xdr:twoCellAnchor editAs="absolute">
    <xdr:from>
      <xdr:col>0</xdr:col>
      <xdr:colOff>285750</xdr:colOff>
      <xdr:row>0</xdr:row>
      <xdr:rowOff>111761</xdr:rowOff>
    </xdr:from>
    <xdr:to>
      <xdr:col>2</xdr:col>
      <xdr:colOff>224</xdr:colOff>
      <xdr:row>2</xdr:row>
      <xdr:rowOff>58430</xdr:rowOff>
    </xdr:to>
    <xdr:grpSp>
      <xdr:nvGrpSpPr>
        <xdr:cNvPr id="6" name="Group 3">
          <a:hlinkClick xmlns:r="http://schemas.openxmlformats.org/officeDocument/2006/relationships" r:id="rId1"/>
          <a:extLst>
            <a:ext uri="{FF2B5EF4-FFF2-40B4-BE49-F238E27FC236}">
              <a16:creationId xmlns:a16="http://schemas.microsoft.com/office/drawing/2014/main" id="{FC004332-28D0-45F3-A2AC-9EF92E511838}"/>
            </a:ext>
          </a:extLst>
        </xdr:cNvPr>
        <xdr:cNvGrpSpPr/>
      </xdr:nvGrpSpPr>
      <xdr:grpSpPr>
        <a:xfrm>
          <a:off x="285750" y="111761"/>
          <a:ext cx="1037088" cy="316783"/>
          <a:chOff x="2292668" y="2740184"/>
          <a:chExt cx="1005208" cy="328666"/>
        </a:xfrm>
        <a:effectLst>
          <a:outerShdw blurRad="50800" dist="50800" dir="5400000" algn="ctr" rotWithShape="0">
            <a:srgbClr val="000000">
              <a:alpha val="0"/>
            </a:srgbClr>
          </a:outerShdw>
        </a:effectLst>
      </xdr:grpSpPr>
      <xdr:sp macro="" textlink="">
        <xdr:nvSpPr>
          <xdr:cNvPr id="7" name="Tytuł 1">
            <a:extLst>
              <a:ext uri="{FF2B5EF4-FFF2-40B4-BE49-F238E27FC236}">
                <a16:creationId xmlns:a16="http://schemas.microsoft.com/office/drawing/2014/main" id="{42299F1E-760F-42CD-874B-B4AAF5C2D7D6}"/>
              </a:ext>
            </a:extLst>
          </xdr:cNvPr>
          <xdr:cNvSpPr txBox="1">
            <a:spLocks/>
          </xdr:cNvSpPr>
        </xdr:nvSpPr>
        <xdr:spPr>
          <a:xfrm>
            <a:off x="2364116" y="2740184"/>
            <a:ext cx="874029" cy="225165"/>
          </a:xfrm>
          <a:prstGeom prst="rect">
            <a:avLst/>
          </a:prstGeom>
        </xdr:spPr>
        <xdr:txBody>
          <a:bodyPr vert="horz" wrap="square" lIns="0" tIns="0" rIns="0" bIns="0" rtlCol="0" anchor="ctr">
            <a:noAutofit/>
          </a:bodyPr>
          <a:lstStyle>
            <a:defPPr>
              <a:defRPr lang="pl-PL"/>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r>
              <a:rPr lang="pl-PL" sz="1300" b="1">
                <a:latin typeface="Ebrima" panose="02000000000000000000" pitchFamily="2" charset="0"/>
                <a:ea typeface="Ebrima" panose="02000000000000000000" pitchFamily="2" charset="0"/>
                <a:cs typeface="Ebrima" panose="02000000000000000000" pitchFamily="2" charset="0"/>
              </a:rPr>
              <a:t>3Blocks</a:t>
            </a:r>
            <a:r>
              <a:rPr lang="en-GB" sz="300" b="1">
                <a:latin typeface="Ebrima" panose="02000000000000000000" pitchFamily="2" charset="0"/>
                <a:ea typeface="Ebrima" panose="02000000000000000000" pitchFamily="2" charset="0"/>
                <a:cs typeface="Ebrima" panose="02000000000000000000" pitchFamily="2" charset="0"/>
              </a:rPr>
              <a:t> </a:t>
            </a:r>
            <a:r>
              <a:rPr lang="pl-PL" sz="600" b="1">
                <a:latin typeface="Ebrima" panose="02000000000000000000" pitchFamily="2" charset="0"/>
                <a:ea typeface="Ebrima" panose="02000000000000000000" pitchFamily="2" charset="0"/>
                <a:cs typeface="Ebrima" panose="02000000000000000000" pitchFamily="2" charset="0"/>
              </a:rPr>
              <a:t>®</a:t>
            </a:r>
          </a:p>
        </xdr:txBody>
      </xdr:sp>
      <xdr:grpSp>
        <xdr:nvGrpSpPr>
          <xdr:cNvPr id="8" name="Group 5">
            <a:extLst>
              <a:ext uri="{FF2B5EF4-FFF2-40B4-BE49-F238E27FC236}">
                <a16:creationId xmlns:a16="http://schemas.microsoft.com/office/drawing/2014/main" id="{882E665F-DDFD-406B-8A62-1E91FE4A213F}"/>
              </a:ext>
            </a:extLst>
          </xdr:cNvPr>
          <xdr:cNvGrpSpPr>
            <a:grpSpLocks noChangeAspect="1"/>
          </xdr:cNvGrpSpPr>
        </xdr:nvGrpSpPr>
        <xdr:grpSpPr>
          <a:xfrm>
            <a:off x="2292668" y="2949307"/>
            <a:ext cx="1005208" cy="119543"/>
            <a:chOff x="2040001" y="3321847"/>
            <a:chExt cx="4540706" cy="540000"/>
          </a:xfrm>
        </xdr:grpSpPr>
        <xdr:sp macro="" textlink="">
          <xdr:nvSpPr>
            <xdr:cNvPr id="9" name="Prostokąt 15">
              <a:extLst>
                <a:ext uri="{FF2B5EF4-FFF2-40B4-BE49-F238E27FC236}">
                  <a16:creationId xmlns:a16="http://schemas.microsoft.com/office/drawing/2014/main" id="{81003FCD-0C62-4DCA-A298-033B841D5580}"/>
                </a:ext>
              </a:extLst>
            </xdr:cNvPr>
            <xdr:cNvSpPr>
              <a:spLocks noChangeAspect="1"/>
            </xdr:cNvSpPr>
          </xdr:nvSpPr>
          <xdr:spPr>
            <a:xfrm>
              <a:off x="2040001" y="3321847"/>
              <a:ext cx="1440000" cy="540000"/>
            </a:xfrm>
            <a:prstGeom prst="rect">
              <a:avLst/>
            </a:prstGeom>
            <a:solidFill>
              <a:srgbClr val="FF616C"/>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10" name="Prostokąt 16">
              <a:extLst>
                <a:ext uri="{FF2B5EF4-FFF2-40B4-BE49-F238E27FC236}">
                  <a16:creationId xmlns:a16="http://schemas.microsoft.com/office/drawing/2014/main" id="{B7D7F1CC-1022-4B53-86A0-97C3CBF3E334}"/>
                </a:ext>
              </a:extLst>
            </xdr:cNvPr>
            <xdr:cNvSpPr>
              <a:spLocks noChangeAspect="1"/>
            </xdr:cNvSpPr>
          </xdr:nvSpPr>
          <xdr:spPr>
            <a:xfrm>
              <a:off x="5140707" y="3321847"/>
              <a:ext cx="1440000" cy="540000"/>
            </a:xfrm>
            <a:prstGeom prst="rect">
              <a:avLst/>
            </a:prstGeom>
            <a:solidFill>
              <a:srgbClr val="45A3F9"/>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11" name="Prostokąt 17">
              <a:extLst>
                <a:ext uri="{FF2B5EF4-FFF2-40B4-BE49-F238E27FC236}">
                  <a16:creationId xmlns:a16="http://schemas.microsoft.com/office/drawing/2014/main" id="{263D1927-FDF4-46E8-A5E6-0D2FAC4475EE}"/>
                </a:ext>
              </a:extLst>
            </xdr:cNvPr>
            <xdr:cNvSpPr>
              <a:spLocks noChangeAspect="1"/>
            </xdr:cNvSpPr>
          </xdr:nvSpPr>
          <xdr:spPr>
            <a:xfrm>
              <a:off x="3590354" y="3321847"/>
              <a:ext cx="1440000" cy="540000"/>
            </a:xfrm>
            <a:prstGeom prst="rect">
              <a:avLst/>
            </a:prstGeom>
            <a:solidFill>
              <a:srgbClr val="FCC220"/>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grpSp>
    </xdr:grpSp>
    <xdr:clientData/>
  </xdr:twoCellAnchor>
  <xdr:twoCellAnchor editAs="absolute">
    <xdr:from>
      <xdr:col>5</xdr:col>
      <xdr:colOff>659774</xdr:colOff>
      <xdr:row>0</xdr:row>
      <xdr:rowOff>133620</xdr:rowOff>
    </xdr:from>
    <xdr:to>
      <xdr:col>8</xdr:col>
      <xdr:colOff>625938</xdr:colOff>
      <xdr:row>2</xdr:row>
      <xdr:rowOff>91969</xdr:rowOff>
    </xdr:to>
    <xdr:sp macro="" textlink="">
      <xdr:nvSpPr>
        <xdr:cNvPr id="12" name="TextBox 9">
          <a:extLst>
            <a:ext uri="{FF2B5EF4-FFF2-40B4-BE49-F238E27FC236}">
              <a16:creationId xmlns:a16="http://schemas.microsoft.com/office/drawing/2014/main" id="{B6E11CCD-7775-451A-8004-92D42376C621}"/>
            </a:ext>
          </a:extLst>
        </xdr:cNvPr>
        <xdr:cNvSpPr txBox="1"/>
      </xdr:nvSpPr>
      <xdr:spPr>
        <a:xfrm>
          <a:off x="4741917" y="133620"/>
          <a:ext cx="2725692" cy="328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accent1">
                  <a:lumMod val="75000"/>
                </a:schemeClr>
              </a:solidFill>
            </a:rPr>
            <a:t>Gross PAA Eligibility Check - v2.1</a:t>
          </a:r>
          <a:endParaRPr lang="en-GB" sz="1400" b="1">
            <a:solidFill>
              <a:schemeClr val="accent1">
                <a:lumMod val="75000"/>
              </a:schemeClr>
            </a:solidFill>
          </a:endParaRPr>
        </a:p>
      </xdr:txBody>
    </xdr:sp>
    <xdr:clientData/>
  </xdr:twoCellAnchor>
  <xdr:twoCellAnchor editAs="absolute">
    <xdr:from>
      <xdr:col>8</xdr:col>
      <xdr:colOff>889039</xdr:colOff>
      <xdr:row>0</xdr:row>
      <xdr:rowOff>97425</xdr:rowOff>
    </xdr:from>
    <xdr:to>
      <xdr:col>11</xdr:col>
      <xdr:colOff>97639</xdr:colOff>
      <xdr:row>2</xdr:row>
      <xdr:rowOff>91969</xdr:rowOff>
    </xdr:to>
    <xdr:sp macro="" textlink="">
      <xdr:nvSpPr>
        <xdr:cNvPr id="13" name="TextBox 10">
          <a:hlinkClick xmlns:r="http://schemas.openxmlformats.org/officeDocument/2006/relationships" r:id="rId1"/>
          <a:extLst>
            <a:ext uri="{FF2B5EF4-FFF2-40B4-BE49-F238E27FC236}">
              <a16:creationId xmlns:a16="http://schemas.microsoft.com/office/drawing/2014/main" id="{A81BD6F1-C8BF-4FF3-9EE1-438522150095}"/>
            </a:ext>
          </a:extLst>
        </xdr:cNvPr>
        <xdr:cNvSpPr txBox="1"/>
      </xdr:nvSpPr>
      <xdr:spPr>
        <a:xfrm>
          <a:off x="7730710" y="97425"/>
          <a:ext cx="1968129" cy="3646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GB" sz="1400" b="1">
              <a:solidFill>
                <a:schemeClr val="tx1">
                  <a:lumMod val="65000"/>
                  <a:lumOff val="35000"/>
                </a:schemeClr>
              </a:solidFill>
            </a:rPr>
            <a:t>[ www.3blocks.co ]</a:t>
          </a:r>
        </a:p>
      </xdr:txBody>
    </xdr:sp>
    <xdr:clientData/>
  </xdr:twoCellAnchor>
  <xdr:twoCellAnchor editAs="absolute">
    <xdr:from>
      <xdr:col>2</xdr:col>
      <xdr:colOff>673995</xdr:colOff>
      <xdr:row>0</xdr:row>
      <xdr:rowOff>133620</xdr:rowOff>
    </xdr:from>
    <xdr:to>
      <xdr:col>5</xdr:col>
      <xdr:colOff>71442</xdr:colOff>
      <xdr:row>2</xdr:row>
      <xdr:rowOff>91969</xdr:rowOff>
    </xdr:to>
    <xdr:sp macro="" textlink="">
      <xdr:nvSpPr>
        <xdr:cNvPr id="14" name="TextBox 20">
          <a:extLst>
            <a:ext uri="{FF2B5EF4-FFF2-40B4-BE49-F238E27FC236}">
              <a16:creationId xmlns:a16="http://schemas.microsoft.com/office/drawing/2014/main" id="{F3AED50D-9823-4203-B156-7B22A5D574D0}"/>
            </a:ext>
          </a:extLst>
        </xdr:cNvPr>
        <xdr:cNvSpPr txBox="1"/>
      </xdr:nvSpPr>
      <xdr:spPr>
        <a:xfrm>
          <a:off x="1996609" y="133620"/>
          <a:ext cx="2156976" cy="328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400" b="1" baseline="0">
              <a:solidFill>
                <a:schemeClr val="tx1"/>
              </a:solidFill>
            </a:rPr>
            <a:t>3-year coverage period</a:t>
          </a:r>
          <a:endParaRPr lang="en-GB" sz="1400" b="1">
            <a:solidFill>
              <a:schemeClr val="tx1"/>
            </a:solidFill>
          </a:endParaRPr>
        </a:p>
      </xdr:txBody>
    </xdr:sp>
    <xdr:clientData/>
  </xdr:twoCellAnchor>
  <xdr:twoCellAnchor editAs="absolute">
    <xdr:from>
      <xdr:col>8</xdr:col>
      <xdr:colOff>72220</xdr:colOff>
      <xdr:row>4</xdr:row>
      <xdr:rowOff>133350</xdr:rowOff>
    </xdr:from>
    <xdr:to>
      <xdr:col>14</xdr:col>
      <xdr:colOff>784056</xdr:colOff>
      <xdr:row>31</xdr:row>
      <xdr:rowOff>44533</xdr:rowOff>
    </xdr:to>
    <xdr:grpSp>
      <xdr:nvGrpSpPr>
        <xdr:cNvPr id="15" name="Group 14">
          <a:extLst>
            <a:ext uri="{FF2B5EF4-FFF2-40B4-BE49-F238E27FC236}">
              <a16:creationId xmlns:a16="http://schemas.microsoft.com/office/drawing/2014/main" id="{6A40C7C1-E712-4D54-87A3-FD6E3EC00A71}"/>
            </a:ext>
          </a:extLst>
        </xdr:cNvPr>
        <xdr:cNvGrpSpPr/>
      </xdr:nvGrpSpPr>
      <xdr:grpSpPr>
        <a:xfrm>
          <a:off x="6913891" y="873579"/>
          <a:ext cx="6230894" cy="4956711"/>
          <a:chOff x="5878287" y="968829"/>
          <a:chExt cx="5466470" cy="3864429"/>
        </a:xfrm>
      </xdr:grpSpPr>
      <xdr:graphicFrame macro="">
        <xdr:nvGraphicFramePr>
          <xdr:cNvPr id="16" name="Wykres 2">
            <a:extLst>
              <a:ext uri="{FF2B5EF4-FFF2-40B4-BE49-F238E27FC236}">
                <a16:creationId xmlns:a16="http://schemas.microsoft.com/office/drawing/2014/main" id="{FD4B2B39-F033-4A42-AE80-80C007A233C2}"/>
              </a:ext>
            </a:extLst>
          </xdr:cNvPr>
          <xdr:cNvGraphicFramePr>
            <a:graphicFrameLocks/>
          </xdr:cNvGraphicFramePr>
        </xdr:nvGraphicFramePr>
        <xdr:xfrm>
          <a:off x="5878287" y="1062839"/>
          <a:ext cx="5466470" cy="3770419"/>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7" name="TextBox 31">
            <a:extLst>
              <a:ext uri="{FF2B5EF4-FFF2-40B4-BE49-F238E27FC236}">
                <a16:creationId xmlns:a16="http://schemas.microsoft.com/office/drawing/2014/main" id="{F2BB0B07-0D1D-4D42-88A8-5039047109D3}"/>
              </a:ext>
            </a:extLst>
          </xdr:cNvPr>
          <xdr:cNvSpPr txBox="1"/>
        </xdr:nvSpPr>
        <xdr:spPr>
          <a:xfrm>
            <a:off x="6346082" y="968829"/>
            <a:ext cx="2433650" cy="176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r>
              <a:rPr lang="en-GB" sz="1100" b="1"/>
              <a:t>LFRC under</a:t>
            </a:r>
            <a:r>
              <a:rPr lang="en-GB" sz="1100" b="1" baseline="0"/>
              <a:t> GMM and PAA</a:t>
            </a:r>
            <a:endParaRPr lang="en-GB" sz="1100" b="1"/>
          </a:p>
        </xdr:txBody>
      </xdr:sp>
    </xdr:grpSp>
    <xdr:clientData/>
  </xdr:twoCellAnchor>
  <xdr:twoCellAnchor editAs="absolute">
    <xdr:from>
      <xdr:col>15</xdr:col>
      <xdr:colOff>118078</xdr:colOff>
      <xdr:row>4</xdr:row>
      <xdr:rowOff>80963</xdr:rowOff>
    </xdr:from>
    <xdr:to>
      <xdr:col>21</xdr:col>
      <xdr:colOff>489628</xdr:colOff>
      <xdr:row>31</xdr:row>
      <xdr:rowOff>44533</xdr:rowOff>
    </xdr:to>
    <xdr:grpSp>
      <xdr:nvGrpSpPr>
        <xdr:cNvPr id="18" name="Group 17">
          <a:extLst>
            <a:ext uri="{FF2B5EF4-FFF2-40B4-BE49-F238E27FC236}">
              <a16:creationId xmlns:a16="http://schemas.microsoft.com/office/drawing/2014/main" id="{50583CF2-DD23-470F-8F97-C06CC1DB2465}"/>
            </a:ext>
          </a:extLst>
        </xdr:cNvPr>
        <xdr:cNvGrpSpPr/>
      </xdr:nvGrpSpPr>
      <xdr:grpSpPr>
        <a:xfrm>
          <a:off x="13398649" y="821192"/>
          <a:ext cx="5890608" cy="5009098"/>
          <a:chOff x="11826077" y="968829"/>
          <a:chExt cx="5466470" cy="3824547"/>
        </a:xfrm>
      </xdr:grpSpPr>
      <xdr:graphicFrame macro="">
        <xdr:nvGraphicFramePr>
          <xdr:cNvPr id="19" name="Wykres 2">
            <a:extLst>
              <a:ext uri="{FF2B5EF4-FFF2-40B4-BE49-F238E27FC236}">
                <a16:creationId xmlns:a16="http://schemas.microsoft.com/office/drawing/2014/main" id="{B0140124-DB76-430E-A5DA-01172F6D39D1}"/>
              </a:ext>
            </a:extLst>
          </xdr:cNvPr>
          <xdr:cNvGraphicFramePr>
            <a:graphicFrameLocks/>
          </xdr:cNvGraphicFramePr>
        </xdr:nvGraphicFramePr>
        <xdr:xfrm>
          <a:off x="11826077" y="1092753"/>
          <a:ext cx="5466470" cy="3700623"/>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20" name="TextBox 34">
            <a:extLst>
              <a:ext uri="{FF2B5EF4-FFF2-40B4-BE49-F238E27FC236}">
                <a16:creationId xmlns:a16="http://schemas.microsoft.com/office/drawing/2014/main" id="{E7B6A4A7-060F-43E2-AD98-38DBF4EA38EE}"/>
              </a:ext>
            </a:extLst>
          </xdr:cNvPr>
          <xdr:cNvSpPr txBox="1"/>
        </xdr:nvSpPr>
        <xdr:spPr>
          <a:xfrm>
            <a:off x="12303097" y="968829"/>
            <a:ext cx="4033943" cy="176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Coverage</a:t>
            </a:r>
            <a:r>
              <a:rPr lang="en-GB" sz="1100" b="1" baseline="0">
                <a:solidFill>
                  <a:schemeClr val="dk1"/>
                </a:solidFill>
                <a:effectLst/>
                <a:latin typeface="+mn-lt"/>
                <a:ea typeface="+mn-ea"/>
                <a:cs typeface="+mn-cs"/>
              </a:rPr>
              <a:t> units and risk distribution (including lapses)</a:t>
            </a:r>
            <a:endParaRPr lang="en-GB">
              <a:effectLst/>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312960</xdr:colOff>
      <xdr:row>4</xdr:row>
      <xdr:rowOff>102682</xdr:rowOff>
    </xdr:from>
    <xdr:to>
      <xdr:col>7</xdr:col>
      <xdr:colOff>348342</xdr:colOff>
      <xdr:row>30</xdr:row>
      <xdr:rowOff>5443</xdr:rowOff>
    </xdr:to>
    <xdr:grpSp>
      <xdr:nvGrpSpPr>
        <xdr:cNvPr id="21" name="Group 20">
          <a:extLst>
            <a:ext uri="{FF2B5EF4-FFF2-40B4-BE49-F238E27FC236}">
              <a16:creationId xmlns:a16="http://schemas.microsoft.com/office/drawing/2014/main" id="{CED2FFF2-C4BE-467F-89F8-7A204D35EAF0}"/>
            </a:ext>
          </a:extLst>
        </xdr:cNvPr>
        <xdr:cNvGrpSpPr/>
      </xdr:nvGrpSpPr>
      <xdr:grpSpPr>
        <a:xfrm>
          <a:off x="312960" y="842911"/>
          <a:ext cx="5957211" cy="4763232"/>
          <a:chOff x="704848" y="842911"/>
          <a:chExt cx="6097733" cy="4591782"/>
        </a:xfrm>
      </xdr:grpSpPr>
      <xdr:sp macro="" textlink="">
        <xdr:nvSpPr>
          <xdr:cNvPr id="2" name="Rectangle 11">
            <a:extLst>
              <a:ext uri="{FF2B5EF4-FFF2-40B4-BE49-F238E27FC236}">
                <a16:creationId xmlns:a16="http://schemas.microsoft.com/office/drawing/2014/main" id="{E7DBED3D-A321-464B-8DFD-5DD65B4D7DEF}"/>
              </a:ext>
            </a:extLst>
          </xdr:cNvPr>
          <xdr:cNvSpPr/>
        </xdr:nvSpPr>
        <xdr:spPr>
          <a:xfrm>
            <a:off x="704848" y="985807"/>
            <a:ext cx="6097733" cy="4448886"/>
          </a:xfrm>
          <a:prstGeom prst="rect">
            <a:avLst/>
          </a:prstGeom>
          <a:no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3" name="TextBox 12">
            <a:extLst>
              <a:ext uri="{FF2B5EF4-FFF2-40B4-BE49-F238E27FC236}">
                <a16:creationId xmlns:a16="http://schemas.microsoft.com/office/drawing/2014/main" id="{FFABB174-10BF-4EB7-8F70-35C7D19A1DBF}"/>
              </a:ext>
            </a:extLst>
          </xdr:cNvPr>
          <xdr:cNvSpPr txBox="1"/>
        </xdr:nvSpPr>
        <xdr:spPr>
          <a:xfrm>
            <a:off x="926476" y="842911"/>
            <a:ext cx="993739" cy="2576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pPr algn="ctr"/>
            <a:r>
              <a:rPr lang="en-GB" sz="1100" b="1">
                <a:solidFill>
                  <a:schemeClr val="accent1"/>
                </a:solidFill>
              </a:rPr>
              <a:t>Parameters</a:t>
            </a:r>
          </a:p>
        </xdr:txBody>
      </xdr:sp>
    </xdr:grpSp>
    <xdr:clientData/>
  </xdr:twoCellAnchor>
  <xdr:twoCellAnchor editAs="absolute">
    <xdr:from>
      <xdr:col>0</xdr:col>
      <xdr:colOff>285750</xdr:colOff>
      <xdr:row>0</xdr:row>
      <xdr:rowOff>111761</xdr:rowOff>
    </xdr:from>
    <xdr:to>
      <xdr:col>1</xdr:col>
      <xdr:colOff>846589</xdr:colOff>
      <xdr:row>2</xdr:row>
      <xdr:rowOff>58430</xdr:rowOff>
    </xdr:to>
    <xdr:grpSp>
      <xdr:nvGrpSpPr>
        <xdr:cNvPr id="4" name="Group 3">
          <a:hlinkClick xmlns:r="http://schemas.openxmlformats.org/officeDocument/2006/relationships" r:id="rId1"/>
          <a:extLst>
            <a:ext uri="{FF2B5EF4-FFF2-40B4-BE49-F238E27FC236}">
              <a16:creationId xmlns:a16="http://schemas.microsoft.com/office/drawing/2014/main" id="{F958F580-1AA3-4E15-8445-D41C62F7D456}"/>
            </a:ext>
          </a:extLst>
        </xdr:cNvPr>
        <xdr:cNvGrpSpPr/>
      </xdr:nvGrpSpPr>
      <xdr:grpSpPr>
        <a:xfrm>
          <a:off x="285750" y="111761"/>
          <a:ext cx="963610" cy="316783"/>
          <a:chOff x="2292668" y="2740184"/>
          <a:chExt cx="1005208" cy="328666"/>
        </a:xfrm>
        <a:effectLst>
          <a:outerShdw blurRad="50800" dist="50800" dir="5400000" algn="ctr" rotWithShape="0">
            <a:srgbClr val="000000">
              <a:alpha val="0"/>
            </a:srgbClr>
          </a:outerShdw>
        </a:effectLst>
      </xdr:grpSpPr>
      <xdr:sp macro="" textlink="">
        <xdr:nvSpPr>
          <xdr:cNvPr id="5" name="Tytuł 1">
            <a:extLst>
              <a:ext uri="{FF2B5EF4-FFF2-40B4-BE49-F238E27FC236}">
                <a16:creationId xmlns:a16="http://schemas.microsoft.com/office/drawing/2014/main" id="{3BADFBA4-15F5-4C1A-9E34-9396EF9988E3}"/>
              </a:ext>
            </a:extLst>
          </xdr:cNvPr>
          <xdr:cNvSpPr txBox="1">
            <a:spLocks/>
          </xdr:cNvSpPr>
        </xdr:nvSpPr>
        <xdr:spPr>
          <a:xfrm>
            <a:off x="2364116" y="2740184"/>
            <a:ext cx="874029" cy="225165"/>
          </a:xfrm>
          <a:prstGeom prst="rect">
            <a:avLst/>
          </a:prstGeom>
        </xdr:spPr>
        <xdr:txBody>
          <a:bodyPr vert="horz" wrap="square" lIns="0" tIns="0" rIns="0" bIns="0" rtlCol="0" anchor="ctr">
            <a:noAutofit/>
          </a:bodyPr>
          <a:lstStyle>
            <a:defPPr>
              <a:defRPr lang="pl-PL"/>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r>
              <a:rPr lang="pl-PL" sz="1300" b="1">
                <a:latin typeface="Ebrima" panose="02000000000000000000" pitchFamily="2" charset="0"/>
                <a:ea typeface="Ebrima" panose="02000000000000000000" pitchFamily="2" charset="0"/>
                <a:cs typeface="Ebrima" panose="02000000000000000000" pitchFamily="2" charset="0"/>
              </a:rPr>
              <a:t>3Blocks</a:t>
            </a:r>
            <a:r>
              <a:rPr lang="en-GB" sz="300" b="1">
                <a:latin typeface="Ebrima" panose="02000000000000000000" pitchFamily="2" charset="0"/>
                <a:ea typeface="Ebrima" panose="02000000000000000000" pitchFamily="2" charset="0"/>
                <a:cs typeface="Ebrima" panose="02000000000000000000" pitchFamily="2" charset="0"/>
              </a:rPr>
              <a:t> </a:t>
            </a:r>
            <a:r>
              <a:rPr lang="pl-PL" sz="600" b="1">
                <a:latin typeface="Ebrima" panose="02000000000000000000" pitchFamily="2" charset="0"/>
                <a:ea typeface="Ebrima" panose="02000000000000000000" pitchFamily="2" charset="0"/>
                <a:cs typeface="Ebrima" panose="02000000000000000000" pitchFamily="2" charset="0"/>
              </a:rPr>
              <a:t>®</a:t>
            </a:r>
          </a:p>
        </xdr:txBody>
      </xdr:sp>
      <xdr:grpSp>
        <xdr:nvGrpSpPr>
          <xdr:cNvPr id="6" name="Group 5">
            <a:extLst>
              <a:ext uri="{FF2B5EF4-FFF2-40B4-BE49-F238E27FC236}">
                <a16:creationId xmlns:a16="http://schemas.microsoft.com/office/drawing/2014/main" id="{F61F6C11-E8F5-41E5-9836-1DBAFF20F25C}"/>
              </a:ext>
            </a:extLst>
          </xdr:cNvPr>
          <xdr:cNvGrpSpPr>
            <a:grpSpLocks noChangeAspect="1"/>
          </xdr:cNvGrpSpPr>
        </xdr:nvGrpSpPr>
        <xdr:grpSpPr>
          <a:xfrm>
            <a:off x="2292668" y="2949307"/>
            <a:ext cx="1005208" cy="119543"/>
            <a:chOff x="2040001" y="3321847"/>
            <a:chExt cx="4540706" cy="540000"/>
          </a:xfrm>
        </xdr:grpSpPr>
        <xdr:sp macro="" textlink="">
          <xdr:nvSpPr>
            <xdr:cNvPr id="7" name="Prostokąt 15">
              <a:extLst>
                <a:ext uri="{FF2B5EF4-FFF2-40B4-BE49-F238E27FC236}">
                  <a16:creationId xmlns:a16="http://schemas.microsoft.com/office/drawing/2014/main" id="{7A3E9F50-F761-4533-AA8E-7D6D1B2ED894}"/>
                </a:ext>
              </a:extLst>
            </xdr:cNvPr>
            <xdr:cNvSpPr>
              <a:spLocks noChangeAspect="1"/>
            </xdr:cNvSpPr>
          </xdr:nvSpPr>
          <xdr:spPr>
            <a:xfrm>
              <a:off x="2040001" y="3321847"/>
              <a:ext cx="1440000" cy="540000"/>
            </a:xfrm>
            <a:prstGeom prst="rect">
              <a:avLst/>
            </a:prstGeom>
            <a:solidFill>
              <a:srgbClr val="FF616C"/>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8" name="Prostokąt 16">
              <a:extLst>
                <a:ext uri="{FF2B5EF4-FFF2-40B4-BE49-F238E27FC236}">
                  <a16:creationId xmlns:a16="http://schemas.microsoft.com/office/drawing/2014/main" id="{C78D2954-3616-4C63-9085-035FFAD2670B}"/>
                </a:ext>
              </a:extLst>
            </xdr:cNvPr>
            <xdr:cNvSpPr>
              <a:spLocks noChangeAspect="1"/>
            </xdr:cNvSpPr>
          </xdr:nvSpPr>
          <xdr:spPr>
            <a:xfrm>
              <a:off x="5140707" y="3321847"/>
              <a:ext cx="1440000" cy="540000"/>
            </a:xfrm>
            <a:prstGeom prst="rect">
              <a:avLst/>
            </a:prstGeom>
            <a:solidFill>
              <a:srgbClr val="45A3F9"/>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9" name="Prostokąt 17">
              <a:extLst>
                <a:ext uri="{FF2B5EF4-FFF2-40B4-BE49-F238E27FC236}">
                  <a16:creationId xmlns:a16="http://schemas.microsoft.com/office/drawing/2014/main" id="{8E254339-31DB-41D5-97B6-D093AAE262F5}"/>
                </a:ext>
              </a:extLst>
            </xdr:cNvPr>
            <xdr:cNvSpPr>
              <a:spLocks noChangeAspect="1"/>
            </xdr:cNvSpPr>
          </xdr:nvSpPr>
          <xdr:spPr>
            <a:xfrm>
              <a:off x="3590354" y="3321847"/>
              <a:ext cx="1440000" cy="540000"/>
            </a:xfrm>
            <a:prstGeom prst="rect">
              <a:avLst/>
            </a:prstGeom>
            <a:solidFill>
              <a:srgbClr val="FCC220"/>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grpSp>
    </xdr:grpSp>
    <xdr:clientData/>
  </xdr:twoCellAnchor>
  <xdr:twoCellAnchor editAs="absolute">
    <xdr:from>
      <xdr:col>5</xdr:col>
      <xdr:colOff>732570</xdr:colOff>
      <xdr:row>0</xdr:row>
      <xdr:rowOff>133620</xdr:rowOff>
    </xdr:from>
    <xdr:to>
      <xdr:col>8</xdr:col>
      <xdr:colOff>625936</xdr:colOff>
      <xdr:row>2</xdr:row>
      <xdr:rowOff>91969</xdr:rowOff>
    </xdr:to>
    <xdr:sp macro="" textlink="">
      <xdr:nvSpPr>
        <xdr:cNvPr id="10" name="TextBox 9">
          <a:extLst>
            <a:ext uri="{FF2B5EF4-FFF2-40B4-BE49-F238E27FC236}">
              <a16:creationId xmlns:a16="http://schemas.microsoft.com/office/drawing/2014/main" id="{6355BD38-AADA-4CCF-8DE5-AE9F9EB9F8E0}"/>
            </a:ext>
          </a:extLst>
        </xdr:cNvPr>
        <xdr:cNvSpPr txBox="1"/>
      </xdr:nvSpPr>
      <xdr:spPr>
        <a:xfrm>
          <a:off x="4814713" y="133620"/>
          <a:ext cx="2652894" cy="328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accent1">
                  <a:lumMod val="75000"/>
                </a:schemeClr>
              </a:solidFill>
            </a:rPr>
            <a:t>Gross PAA Eligibility Check - v2.1</a:t>
          </a:r>
          <a:endParaRPr lang="en-GB" sz="1400" b="1">
            <a:solidFill>
              <a:schemeClr val="accent1">
                <a:lumMod val="75000"/>
              </a:schemeClr>
            </a:solidFill>
          </a:endParaRPr>
        </a:p>
      </xdr:txBody>
    </xdr:sp>
    <xdr:clientData/>
  </xdr:twoCellAnchor>
  <xdr:twoCellAnchor editAs="absolute">
    <xdr:from>
      <xdr:col>8</xdr:col>
      <xdr:colOff>886325</xdr:colOff>
      <xdr:row>0</xdr:row>
      <xdr:rowOff>97425</xdr:rowOff>
    </xdr:from>
    <xdr:to>
      <xdr:col>11</xdr:col>
      <xdr:colOff>94245</xdr:colOff>
      <xdr:row>2</xdr:row>
      <xdr:rowOff>91969</xdr:rowOff>
    </xdr:to>
    <xdr:sp macro="" textlink="">
      <xdr:nvSpPr>
        <xdr:cNvPr id="11" name="TextBox 10">
          <a:hlinkClick xmlns:r="http://schemas.openxmlformats.org/officeDocument/2006/relationships" r:id="rId1"/>
          <a:extLst>
            <a:ext uri="{FF2B5EF4-FFF2-40B4-BE49-F238E27FC236}">
              <a16:creationId xmlns:a16="http://schemas.microsoft.com/office/drawing/2014/main" id="{A557E7AE-93C2-43A3-B0CE-148A1AF202AF}"/>
            </a:ext>
          </a:extLst>
        </xdr:cNvPr>
        <xdr:cNvSpPr txBox="1"/>
      </xdr:nvSpPr>
      <xdr:spPr>
        <a:xfrm>
          <a:off x="7727996" y="97425"/>
          <a:ext cx="1967449" cy="3646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GB" sz="1400" b="1">
              <a:solidFill>
                <a:schemeClr val="tx1">
                  <a:lumMod val="65000"/>
                  <a:lumOff val="35000"/>
                </a:schemeClr>
              </a:solidFill>
            </a:rPr>
            <a:t>[ www.3blocks.co ]</a:t>
          </a:r>
        </a:p>
      </xdr:txBody>
    </xdr:sp>
    <xdr:clientData/>
  </xdr:twoCellAnchor>
  <xdr:twoCellAnchor editAs="absolute">
    <xdr:from>
      <xdr:col>2</xdr:col>
      <xdr:colOff>855646</xdr:colOff>
      <xdr:row>0</xdr:row>
      <xdr:rowOff>133620</xdr:rowOff>
    </xdr:from>
    <xdr:to>
      <xdr:col>5</xdr:col>
      <xdr:colOff>253773</xdr:colOff>
      <xdr:row>2</xdr:row>
      <xdr:rowOff>91969</xdr:rowOff>
    </xdr:to>
    <xdr:sp macro="" textlink="">
      <xdr:nvSpPr>
        <xdr:cNvPr id="12" name="TextBox 20">
          <a:extLst>
            <a:ext uri="{FF2B5EF4-FFF2-40B4-BE49-F238E27FC236}">
              <a16:creationId xmlns:a16="http://schemas.microsoft.com/office/drawing/2014/main" id="{849965A2-C799-4705-A913-8C61654D4AC3}"/>
            </a:ext>
          </a:extLst>
        </xdr:cNvPr>
        <xdr:cNvSpPr txBox="1"/>
      </xdr:nvSpPr>
      <xdr:spPr>
        <a:xfrm>
          <a:off x="2178260" y="133620"/>
          <a:ext cx="2157656" cy="328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tx1"/>
              </a:solidFill>
            </a:rPr>
            <a:t>4-year coverage period</a:t>
          </a:r>
          <a:endParaRPr lang="en-GB" sz="1400" b="1">
            <a:solidFill>
              <a:schemeClr val="tx1"/>
            </a:solidFill>
          </a:endParaRPr>
        </a:p>
      </xdr:txBody>
    </xdr:sp>
    <xdr:clientData/>
  </xdr:twoCellAnchor>
  <xdr:twoCellAnchor editAs="absolute">
    <xdr:from>
      <xdr:col>8</xdr:col>
      <xdr:colOff>98191</xdr:colOff>
      <xdr:row>4</xdr:row>
      <xdr:rowOff>114300</xdr:rowOff>
    </xdr:from>
    <xdr:to>
      <xdr:col>14</xdr:col>
      <xdr:colOff>810707</xdr:colOff>
      <xdr:row>31</xdr:row>
      <xdr:rowOff>45814</xdr:rowOff>
    </xdr:to>
    <xdr:grpSp>
      <xdr:nvGrpSpPr>
        <xdr:cNvPr id="13" name="Group 12">
          <a:extLst>
            <a:ext uri="{FF2B5EF4-FFF2-40B4-BE49-F238E27FC236}">
              <a16:creationId xmlns:a16="http://schemas.microsoft.com/office/drawing/2014/main" id="{305646E5-CA2C-42C5-80C2-6386654F3588}"/>
            </a:ext>
          </a:extLst>
        </xdr:cNvPr>
        <xdr:cNvGrpSpPr/>
      </xdr:nvGrpSpPr>
      <xdr:grpSpPr>
        <a:xfrm>
          <a:off x="6939862" y="854529"/>
          <a:ext cx="6231574" cy="4977042"/>
          <a:chOff x="5878287" y="968829"/>
          <a:chExt cx="5466470" cy="3864429"/>
        </a:xfrm>
      </xdr:grpSpPr>
      <xdr:graphicFrame macro="">
        <xdr:nvGraphicFramePr>
          <xdr:cNvPr id="14" name="Wykres 2">
            <a:extLst>
              <a:ext uri="{FF2B5EF4-FFF2-40B4-BE49-F238E27FC236}">
                <a16:creationId xmlns:a16="http://schemas.microsoft.com/office/drawing/2014/main" id="{69CF9DA8-B266-4C11-8388-E36F961FBA1A}"/>
              </a:ext>
            </a:extLst>
          </xdr:cNvPr>
          <xdr:cNvGraphicFramePr>
            <a:graphicFrameLocks/>
          </xdr:cNvGraphicFramePr>
        </xdr:nvGraphicFramePr>
        <xdr:xfrm>
          <a:off x="5878287" y="1062839"/>
          <a:ext cx="5466470" cy="3770419"/>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5" name="TextBox 31">
            <a:extLst>
              <a:ext uri="{FF2B5EF4-FFF2-40B4-BE49-F238E27FC236}">
                <a16:creationId xmlns:a16="http://schemas.microsoft.com/office/drawing/2014/main" id="{DDE0C1E3-7EC4-47FF-8386-075657A0D4F9}"/>
              </a:ext>
            </a:extLst>
          </xdr:cNvPr>
          <xdr:cNvSpPr txBox="1"/>
        </xdr:nvSpPr>
        <xdr:spPr>
          <a:xfrm>
            <a:off x="6346082" y="968829"/>
            <a:ext cx="2433650" cy="176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r>
              <a:rPr lang="en-GB" sz="1100" b="1"/>
              <a:t>LFRC under</a:t>
            </a:r>
            <a:r>
              <a:rPr lang="en-GB" sz="1100" b="1" baseline="0"/>
              <a:t> GMM and PAA</a:t>
            </a:r>
            <a:endParaRPr lang="en-GB" sz="1100" b="1"/>
          </a:p>
        </xdr:txBody>
      </xdr:sp>
    </xdr:grpSp>
    <xdr:clientData/>
  </xdr:twoCellAnchor>
  <xdr:twoCellAnchor editAs="absolute">
    <xdr:from>
      <xdr:col>15</xdr:col>
      <xdr:colOff>130450</xdr:colOff>
      <xdr:row>4</xdr:row>
      <xdr:rowOff>119742</xdr:rowOff>
    </xdr:from>
    <xdr:to>
      <xdr:col>21</xdr:col>
      <xdr:colOff>502679</xdr:colOff>
      <xdr:row>31</xdr:row>
      <xdr:rowOff>45814</xdr:rowOff>
    </xdr:to>
    <xdr:grpSp>
      <xdr:nvGrpSpPr>
        <xdr:cNvPr id="16" name="Group 15">
          <a:extLst>
            <a:ext uri="{FF2B5EF4-FFF2-40B4-BE49-F238E27FC236}">
              <a16:creationId xmlns:a16="http://schemas.microsoft.com/office/drawing/2014/main" id="{96A40959-89DB-4289-A822-BC5CD68DD447}"/>
            </a:ext>
          </a:extLst>
        </xdr:cNvPr>
        <xdr:cNvGrpSpPr/>
      </xdr:nvGrpSpPr>
      <xdr:grpSpPr>
        <a:xfrm>
          <a:off x="13411021" y="859971"/>
          <a:ext cx="5891287" cy="4971600"/>
          <a:chOff x="11826077" y="968829"/>
          <a:chExt cx="5466470" cy="3824547"/>
        </a:xfrm>
      </xdr:grpSpPr>
      <xdr:graphicFrame macro="">
        <xdr:nvGraphicFramePr>
          <xdr:cNvPr id="17" name="Wykres 2">
            <a:extLst>
              <a:ext uri="{FF2B5EF4-FFF2-40B4-BE49-F238E27FC236}">
                <a16:creationId xmlns:a16="http://schemas.microsoft.com/office/drawing/2014/main" id="{13DE90D3-523E-4EF7-94FC-3FB4AF6AD802}"/>
              </a:ext>
            </a:extLst>
          </xdr:cNvPr>
          <xdr:cNvGraphicFramePr>
            <a:graphicFrameLocks/>
          </xdr:cNvGraphicFramePr>
        </xdr:nvGraphicFramePr>
        <xdr:xfrm>
          <a:off x="11826077" y="1092753"/>
          <a:ext cx="5466470" cy="3700623"/>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18" name="TextBox 34">
            <a:extLst>
              <a:ext uri="{FF2B5EF4-FFF2-40B4-BE49-F238E27FC236}">
                <a16:creationId xmlns:a16="http://schemas.microsoft.com/office/drawing/2014/main" id="{B81EDF20-D262-470E-9731-DFA1C9BB5BCC}"/>
              </a:ext>
            </a:extLst>
          </xdr:cNvPr>
          <xdr:cNvSpPr txBox="1"/>
        </xdr:nvSpPr>
        <xdr:spPr>
          <a:xfrm>
            <a:off x="12303097" y="968829"/>
            <a:ext cx="4033943" cy="176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Coverage</a:t>
            </a:r>
            <a:r>
              <a:rPr lang="en-GB" sz="1100" b="1" baseline="0">
                <a:solidFill>
                  <a:schemeClr val="dk1"/>
                </a:solidFill>
                <a:effectLst/>
                <a:latin typeface="+mn-lt"/>
                <a:ea typeface="+mn-ea"/>
                <a:cs typeface="+mn-cs"/>
              </a:rPr>
              <a:t> units and risk distribution (including lapses)</a:t>
            </a:r>
            <a:endParaRPr lang="en-GB">
              <a:effectLst/>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323848</xdr:colOff>
      <xdr:row>4</xdr:row>
      <xdr:rowOff>102682</xdr:rowOff>
    </xdr:from>
    <xdr:to>
      <xdr:col>7</xdr:col>
      <xdr:colOff>348342</xdr:colOff>
      <xdr:row>30</xdr:row>
      <xdr:rowOff>5443</xdr:rowOff>
    </xdr:to>
    <xdr:grpSp>
      <xdr:nvGrpSpPr>
        <xdr:cNvPr id="19" name="Group 18">
          <a:extLst>
            <a:ext uri="{FF2B5EF4-FFF2-40B4-BE49-F238E27FC236}">
              <a16:creationId xmlns:a16="http://schemas.microsoft.com/office/drawing/2014/main" id="{6FAA8468-D413-428B-933C-DFE1CE49622F}"/>
            </a:ext>
          </a:extLst>
        </xdr:cNvPr>
        <xdr:cNvGrpSpPr/>
      </xdr:nvGrpSpPr>
      <xdr:grpSpPr>
        <a:xfrm>
          <a:off x="323848" y="842911"/>
          <a:ext cx="5946323" cy="4763232"/>
          <a:chOff x="704848" y="839282"/>
          <a:chExt cx="6104083" cy="4570918"/>
        </a:xfrm>
      </xdr:grpSpPr>
      <xdr:sp macro="" textlink="">
        <xdr:nvSpPr>
          <xdr:cNvPr id="2" name="Rectangle 11">
            <a:extLst>
              <a:ext uri="{FF2B5EF4-FFF2-40B4-BE49-F238E27FC236}">
                <a16:creationId xmlns:a16="http://schemas.microsoft.com/office/drawing/2014/main" id="{6B157BE4-B7C0-44C9-AD85-D94B172D1244}"/>
              </a:ext>
            </a:extLst>
          </xdr:cNvPr>
          <xdr:cNvSpPr/>
        </xdr:nvSpPr>
        <xdr:spPr>
          <a:xfrm>
            <a:off x="704848" y="983086"/>
            <a:ext cx="6104083" cy="4427114"/>
          </a:xfrm>
          <a:prstGeom prst="rect">
            <a:avLst/>
          </a:prstGeom>
          <a:no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3" name="TextBox 12">
            <a:extLst>
              <a:ext uri="{FF2B5EF4-FFF2-40B4-BE49-F238E27FC236}">
                <a16:creationId xmlns:a16="http://schemas.microsoft.com/office/drawing/2014/main" id="{BC263E28-71DA-414E-98D0-E51352153E85}"/>
              </a:ext>
            </a:extLst>
          </xdr:cNvPr>
          <xdr:cNvSpPr txBox="1"/>
        </xdr:nvSpPr>
        <xdr:spPr>
          <a:xfrm>
            <a:off x="927383" y="839282"/>
            <a:ext cx="994646" cy="2585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pPr algn="ctr"/>
            <a:r>
              <a:rPr lang="en-GB" sz="1100" b="1">
                <a:solidFill>
                  <a:schemeClr val="accent1"/>
                </a:solidFill>
              </a:rPr>
              <a:t>Parameters</a:t>
            </a:r>
          </a:p>
        </xdr:txBody>
      </xdr:sp>
    </xdr:grpSp>
    <xdr:clientData/>
  </xdr:twoCellAnchor>
  <xdr:twoCellAnchor editAs="absolute">
    <xdr:from>
      <xdr:col>0</xdr:col>
      <xdr:colOff>285750</xdr:colOff>
      <xdr:row>0</xdr:row>
      <xdr:rowOff>111761</xdr:rowOff>
    </xdr:from>
    <xdr:to>
      <xdr:col>1</xdr:col>
      <xdr:colOff>843867</xdr:colOff>
      <xdr:row>2</xdr:row>
      <xdr:rowOff>58430</xdr:rowOff>
    </xdr:to>
    <xdr:grpSp>
      <xdr:nvGrpSpPr>
        <xdr:cNvPr id="4" name="Group 3">
          <a:hlinkClick xmlns:r="http://schemas.openxmlformats.org/officeDocument/2006/relationships" r:id="rId1"/>
          <a:extLst>
            <a:ext uri="{FF2B5EF4-FFF2-40B4-BE49-F238E27FC236}">
              <a16:creationId xmlns:a16="http://schemas.microsoft.com/office/drawing/2014/main" id="{E8B5AA5D-7FE5-4773-A3AD-D4950070E636}"/>
            </a:ext>
          </a:extLst>
        </xdr:cNvPr>
        <xdr:cNvGrpSpPr/>
      </xdr:nvGrpSpPr>
      <xdr:grpSpPr>
        <a:xfrm>
          <a:off x="285750" y="111761"/>
          <a:ext cx="960888" cy="316783"/>
          <a:chOff x="2292668" y="2740184"/>
          <a:chExt cx="1005208" cy="328666"/>
        </a:xfrm>
        <a:effectLst>
          <a:outerShdw blurRad="50800" dist="50800" dir="5400000" algn="ctr" rotWithShape="0">
            <a:srgbClr val="000000">
              <a:alpha val="0"/>
            </a:srgbClr>
          </a:outerShdw>
        </a:effectLst>
      </xdr:grpSpPr>
      <xdr:sp macro="" textlink="">
        <xdr:nvSpPr>
          <xdr:cNvPr id="5" name="Tytuł 1">
            <a:extLst>
              <a:ext uri="{FF2B5EF4-FFF2-40B4-BE49-F238E27FC236}">
                <a16:creationId xmlns:a16="http://schemas.microsoft.com/office/drawing/2014/main" id="{C05B99A7-66A9-45EC-B745-17BB0B93F4DF}"/>
              </a:ext>
            </a:extLst>
          </xdr:cNvPr>
          <xdr:cNvSpPr txBox="1">
            <a:spLocks/>
          </xdr:cNvSpPr>
        </xdr:nvSpPr>
        <xdr:spPr>
          <a:xfrm>
            <a:off x="2364116" y="2740184"/>
            <a:ext cx="874029" cy="225165"/>
          </a:xfrm>
          <a:prstGeom prst="rect">
            <a:avLst/>
          </a:prstGeom>
        </xdr:spPr>
        <xdr:txBody>
          <a:bodyPr vert="horz" wrap="square" lIns="0" tIns="0" rIns="0" bIns="0" rtlCol="0" anchor="ctr">
            <a:noAutofit/>
          </a:bodyPr>
          <a:lstStyle>
            <a:defPPr>
              <a:defRPr lang="pl-PL"/>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r>
              <a:rPr lang="pl-PL" sz="1300" b="1">
                <a:latin typeface="Ebrima" panose="02000000000000000000" pitchFamily="2" charset="0"/>
                <a:ea typeface="Ebrima" panose="02000000000000000000" pitchFamily="2" charset="0"/>
                <a:cs typeface="Ebrima" panose="02000000000000000000" pitchFamily="2" charset="0"/>
              </a:rPr>
              <a:t>3Blocks</a:t>
            </a:r>
            <a:r>
              <a:rPr lang="en-GB" sz="300" b="1">
                <a:latin typeface="Ebrima" panose="02000000000000000000" pitchFamily="2" charset="0"/>
                <a:ea typeface="Ebrima" panose="02000000000000000000" pitchFamily="2" charset="0"/>
                <a:cs typeface="Ebrima" panose="02000000000000000000" pitchFamily="2" charset="0"/>
              </a:rPr>
              <a:t> </a:t>
            </a:r>
            <a:r>
              <a:rPr lang="pl-PL" sz="600" b="1">
                <a:latin typeface="Ebrima" panose="02000000000000000000" pitchFamily="2" charset="0"/>
                <a:ea typeface="Ebrima" panose="02000000000000000000" pitchFamily="2" charset="0"/>
                <a:cs typeface="Ebrima" panose="02000000000000000000" pitchFamily="2" charset="0"/>
              </a:rPr>
              <a:t>®</a:t>
            </a:r>
          </a:p>
        </xdr:txBody>
      </xdr:sp>
      <xdr:grpSp>
        <xdr:nvGrpSpPr>
          <xdr:cNvPr id="6" name="Group 5">
            <a:extLst>
              <a:ext uri="{FF2B5EF4-FFF2-40B4-BE49-F238E27FC236}">
                <a16:creationId xmlns:a16="http://schemas.microsoft.com/office/drawing/2014/main" id="{490B22AA-7047-44F9-88A8-EB421451B7C9}"/>
              </a:ext>
            </a:extLst>
          </xdr:cNvPr>
          <xdr:cNvGrpSpPr>
            <a:grpSpLocks noChangeAspect="1"/>
          </xdr:cNvGrpSpPr>
        </xdr:nvGrpSpPr>
        <xdr:grpSpPr>
          <a:xfrm>
            <a:off x="2292668" y="2949307"/>
            <a:ext cx="1005208" cy="119543"/>
            <a:chOff x="2040001" y="3321847"/>
            <a:chExt cx="4540706" cy="540000"/>
          </a:xfrm>
        </xdr:grpSpPr>
        <xdr:sp macro="" textlink="">
          <xdr:nvSpPr>
            <xdr:cNvPr id="7" name="Prostokąt 15">
              <a:extLst>
                <a:ext uri="{FF2B5EF4-FFF2-40B4-BE49-F238E27FC236}">
                  <a16:creationId xmlns:a16="http://schemas.microsoft.com/office/drawing/2014/main" id="{4593CD5D-964D-42FD-B9BB-995D5EF44C92}"/>
                </a:ext>
              </a:extLst>
            </xdr:cNvPr>
            <xdr:cNvSpPr>
              <a:spLocks noChangeAspect="1"/>
            </xdr:cNvSpPr>
          </xdr:nvSpPr>
          <xdr:spPr>
            <a:xfrm>
              <a:off x="2040001" y="3321847"/>
              <a:ext cx="1440000" cy="540000"/>
            </a:xfrm>
            <a:prstGeom prst="rect">
              <a:avLst/>
            </a:prstGeom>
            <a:solidFill>
              <a:srgbClr val="FF616C"/>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8" name="Prostokąt 16">
              <a:extLst>
                <a:ext uri="{FF2B5EF4-FFF2-40B4-BE49-F238E27FC236}">
                  <a16:creationId xmlns:a16="http://schemas.microsoft.com/office/drawing/2014/main" id="{86FF1EAF-1A6D-4C18-BB14-E03DEF97CC85}"/>
                </a:ext>
              </a:extLst>
            </xdr:cNvPr>
            <xdr:cNvSpPr>
              <a:spLocks noChangeAspect="1"/>
            </xdr:cNvSpPr>
          </xdr:nvSpPr>
          <xdr:spPr>
            <a:xfrm>
              <a:off x="5140707" y="3321847"/>
              <a:ext cx="1440000" cy="540000"/>
            </a:xfrm>
            <a:prstGeom prst="rect">
              <a:avLst/>
            </a:prstGeom>
            <a:solidFill>
              <a:srgbClr val="45A3F9"/>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9" name="Prostokąt 17">
              <a:extLst>
                <a:ext uri="{FF2B5EF4-FFF2-40B4-BE49-F238E27FC236}">
                  <a16:creationId xmlns:a16="http://schemas.microsoft.com/office/drawing/2014/main" id="{BEA43B58-7F04-4B76-83F4-704669A28B49}"/>
                </a:ext>
              </a:extLst>
            </xdr:cNvPr>
            <xdr:cNvSpPr>
              <a:spLocks noChangeAspect="1"/>
            </xdr:cNvSpPr>
          </xdr:nvSpPr>
          <xdr:spPr>
            <a:xfrm>
              <a:off x="3590354" y="3321847"/>
              <a:ext cx="1440000" cy="540000"/>
            </a:xfrm>
            <a:prstGeom prst="rect">
              <a:avLst/>
            </a:prstGeom>
            <a:solidFill>
              <a:srgbClr val="FCC220"/>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grpSp>
    </xdr:grpSp>
    <xdr:clientData/>
  </xdr:twoCellAnchor>
  <xdr:twoCellAnchor editAs="absolute">
    <xdr:from>
      <xdr:col>5</xdr:col>
      <xdr:colOff>707165</xdr:colOff>
      <xdr:row>0</xdr:row>
      <xdr:rowOff>133620</xdr:rowOff>
    </xdr:from>
    <xdr:to>
      <xdr:col>8</xdr:col>
      <xdr:colOff>636815</xdr:colOff>
      <xdr:row>2</xdr:row>
      <xdr:rowOff>91969</xdr:rowOff>
    </xdr:to>
    <xdr:sp macro="" textlink="">
      <xdr:nvSpPr>
        <xdr:cNvPr id="10" name="TextBox 9">
          <a:extLst>
            <a:ext uri="{FF2B5EF4-FFF2-40B4-BE49-F238E27FC236}">
              <a16:creationId xmlns:a16="http://schemas.microsoft.com/office/drawing/2014/main" id="{D07C9D01-FB51-4EF3-941A-8BE9246CC439}"/>
            </a:ext>
          </a:extLst>
        </xdr:cNvPr>
        <xdr:cNvSpPr txBox="1"/>
      </xdr:nvSpPr>
      <xdr:spPr>
        <a:xfrm>
          <a:off x="4789308" y="133620"/>
          <a:ext cx="2689178" cy="328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accent1">
                  <a:lumMod val="75000"/>
                </a:schemeClr>
              </a:solidFill>
            </a:rPr>
            <a:t>Gross PAA Eligibility Check - v2.1</a:t>
          </a:r>
          <a:endParaRPr lang="en-GB" sz="1400" b="1">
            <a:solidFill>
              <a:schemeClr val="accent1">
                <a:lumMod val="75000"/>
              </a:schemeClr>
            </a:solidFill>
          </a:endParaRPr>
        </a:p>
      </xdr:txBody>
    </xdr:sp>
    <xdr:clientData/>
  </xdr:twoCellAnchor>
  <xdr:twoCellAnchor editAs="absolute">
    <xdr:from>
      <xdr:col>9</xdr:col>
      <xdr:colOff>137935</xdr:colOff>
      <xdr:row>0</xdr:row>
      <xdr:rowOff>97425</xdr:rowOff>
    </xdr:from>
    <xdr:to>
      <xdr:col>11</xdr:col>
      <xdr:colOff>264790</xdr:colOff>
      <xdr:row>2</xdr:row>
      <xdr:rowOff>91969</xdr:rowOff>
    </xdr:to>
    <xdr:sp macro="" textlink="">
      <xdr:nvSpPr>
        <xdr:cNvPr id="11" name="TextBox 10">
          <a:hlinkClick xmlns:r="http://schemas.openxmlformats.org/officeDocument/2006/relationships" r:id="rId1"/>
          <a:extLst>
            <a:ext uri="{FF2B5EF4-FFF2-40B4-BE49-F238E27FC236}">
              <a16:creationId xmlns:a16="http://schemas.microsoft.com/office/drawing/2014/main" id="{452AA8D8-8759-4EBB-904E-3DA06CAF149C}"/>
            </a:ext>
          </a:extLst>
        </xdr:cNvPr>
        <xdr:cNvSpPr txBox="1"/>
      </xdr:nvSpPr>
      <xdr:spPr>
        <a:xfrm>
          <a:off x="7899449" y="97425"/>
          <a:ext cx="1966541" cy="3646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400" b="1">
              <a:solidFill>
                <a:schemeClr val="tx1">
                  <a:lumMod val="65000"/>
                  <a:lumOff val="35000"/>
                </a:schemeClr>
              </a:solidFill>
            </a:rPr>
            <a:t>[ www.3blocks.co ]</a:t>
          </a:r>
        </a:p>
      </xdr:txBody>
    </xdr:sp>
    <xdr:clientData/>
  </xdr:twoCellAnchor>
  <xdr:twoCellAnchor editAs="absolute">
    <xdr:from>
      <xdr:col>2</xdr:col>
      <xdr:colOff>764926</xdr:colOff>
      <xdr:row>0</xdr:row>
      <xdr:rowOff>133620</xdr:rowOff>
    </xdr:from>
    <xdr:to>
      <xdr:col>5</xdr:col>
      <xdr:colOff>163961</xdr:colOff>
      <xdr:row>2</xdr:row>
      <xdr:rowOff>91969</xdr:rowOff>
    </xdr:to>
    <xdr:sp macro="" textlink="">
      <xdr:nvSpPr>
        <xdr:cNvPr id="12" name="TextBox 20">
          <a:extLst>
            <a:ext uri="{FF2B5EF4-FFF2-40B4-BE49-F238E27FC236}">
              <a16:creationId xmlns:a16="http://schemas.microsoft.com/office/drawing/2014/main" id="{37E627C9-21EE-4770-8657-78D2533AE35F}"/>
            </a:ext>
          </a:extLst>
        </xdr:cNvPr>
        <xdr:cNvSpPr txBox="1"/>
      </xdr:nvSpPr>
      <xdr:spPr>
        <a:xfrm>
          <a:off x="2087540" y="133620"/>
          <a:ext cx="2158564" cy="328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tx1"/>
              </a:solidFill>
            </a:rPr>
            <a:t>5-year coverage period</a:t>
          </a:r>
          <a:endParaRPr lang="en-GB" sz="1400" b="1">
            <a:solidFill>
              <a:schemeClr val="tx1"/>
            </a:solidFill>
          </a:endParaRPr>
        </a:p>
      </xdr:txBody>
    </xdr:sp>
    <xdr:clientData/>
  </xdr:twoCellAnchor>
  <xdr:twoCellAnchor editAs="absolute">
    <xdr:from>
      <xdr:col>8</xdr:col>
      <xdr:colOff>84609</xdr:colOff>
      <xdr:row>4</xdr:row>
      <xdr:rowOff>152400</xdr:rowOff>
    </xdr:from>
    <xdr:to>
      <xdr:col>14</xdr:col>
      <xdr:colOff>798032</xdr:colOff>
      <xdr:row>31</xdr:row>
      <xdr:rowOff>44533</xdr:rowOff>
    </xdr:to>
    <xdr:grpSp>
      <xdr:nvGrpSpPr>
        <xdr:cNvPr id="13" name="Group 12">
          <a:extLst>
            <a:ext uri="{FF2B5EF4-FFF2-40B4-BE49-F238E27FC236}">
              <a16:creationId xmlns:a16="http://schemas.microsoft.com/office/drawing/2014/main" id="{E43873A3-4C55-4232-8BBB-FC35BB3EE6DB}"/>
            </a:ext>
          </a:extLst>
        </xdr:cNvPr>
        <xdr:cNvGrpSpPr/>
      </xdr:nvGrpSpPr>
      <xdr:grpSpPr>
        <a:xfrm>
          <a:off x="6926280" y="892629"/>
          <a:ext cx="6232481" cy="4937661"/>
          <a:chOff x="5878287" y="968829"/>
          <a:chExt cx="5466470" cy="3864429"/>
        </a:xfrm>
      </xdr:grpSpPr>
      <xdr:graphicFrame macro="">
        <xdr:nvGraphicFramePr>
          <xdr:cNvPr id="14" name="Wykres 2">
            <a:extLst>
              <a:ext uri="{FF2B5EF4-FFF2-40B4-BE49-F238E27FC236}">
                <a16:creationId xmlns:a16="http://schemas.microsoft.com/office/drawing/2014/main" id="{FA953729-5BB5-4382-84B9-82B6209888A1}"/>
              </a:ext>
            </a:extLst>
          </xdr:cNvPr>
          <xdr:cNvGraphicFramePr>
            <a:graphicFrameLocks/>
          </xdr:cNvGraphicFramePr>
        </xdr:nvGraphicFramePr>
        <xdr:xfrm>
          <a:off x="5878287" y="1062839"/>
          <a:ext cx="5466470" cy="3770419"/>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5" name="TextBox 31">
            <a:extLst>
              <a:ext uri="{FF2B5EF4-FFF2-40B4-BE49-F238E27FC236}">
                <a16:creationId xmlns:a16="http://schemas.microsoft.com/office/drawing/2014/main" id="{CE625D44-856B-4A7F-9398-FA31DCFEDBBE}"/>
              </a:ext>
            </a:extLst>
          </xdr:cNvPr>
          <xdr:cNvSpPr txBox="1"/>
        </xdr:nvSpPr>
        <xdr:spPr>
          <a:xfrm>
            <a:off x="6346082" y="968829"/>
            <a:ext cx="2433650" cy="176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r>
              <a:rPr lang="en-GB" sz="1100" b="1"/>
              <a:t>LFRC under</a:t>
            </a:r>
            <a:r>
              <a:rPr lang="en-GB" sz="1100" b="1" baseline="0"/>
              <a:t> GMM and PAA</a:t>
            </a:r>
            <a:endParaRPr lang="en-GB" sz="1100" b="1"/>
          </a:p>
        </xdr:txBody>
      </xdr:sp>
    </xdr:grpSp>
    <xdr:clientData/>
  </xdr:twoCellAnchor>
  <xdr:twoCellAnchor editAs="absolute">
    <xdr:from>
      <xdr:col>15</xdr:col>
      <xdr:colOff>116868</xdr:colOff>
      <xdr:row>4</xdr:row>
      <xdr:rowOff>133350</xdr:rowOff>
    </xdr:from>
    <xdr:to>
      <xdr:col>21</xdr:col>
      <xdr:colOff>490004</xdr:colOff>
      <xdr:row>31</xdr:row>
      <xdr:rowOff>44533</xdr:rowOff>
    </xdr:to>
    <xdr:grpSp>
      <xdr:nvGrpSpPr>
        <xdr:cNvPr id="16" name="Group 15">
          <a:extLst>
            <a:ext uri="{FF2B5EF4-FFF2-40B4-BE49-F238E27FC236}">
              <a16:creationId xmlns:a16="http://schemas.microsoft.com/office/drawing/2014/main" id="{327F9661-0233-4530-A453-1E049DDA5D7C}"/>
            </a:ext>
          </a:extLst>
        </xdr:cNvPr>
        <xdr:cNvGrpSpPr/>
      </xdr:nvGrpSpPr>
      <xdr:grpSpPr>
        <a:xfrm>
          <a:off x="13397439" y="873579"/>
          <a:ext cx="5892194" cy="4956711"/>
          <a:chOff x="11826077" y="968829"/>
          <a:chExt cx="5466470" cy="3824547"/>
        </a:xfrm>
      </xdr:grpSpPr>
      <xdr:graphicFrame macro="">
        <xdr:nvGraphicFramePr>
          <xdr:cNvPr id="17" name="Wykres 2">
            <a:extLst>
              <a:ext uri="{FF2B5EF4-FFF2-40B4-BE49-F238E27FC236}">
                <a16:creationId xmlns:a16="http://schemas.microsoft.com/office/drawing/2014/main" id="{BC560C18-9CBC-4CA9-830F-542A6D1ADA0A}"/>
              </a:ext>
            </a:extLst>
          </xdr:cNvPr>
          <xdr:cNvGraphicFramePr>
            <a:graphicFrameLocks/>
          </xdr:cNvGraphicFramePr>
        </xdr:nvGraphicFramePr>
        <xdr:xfrm>
          <a:off x="11826077" y="1092753"/>
          <a:ext cx="5466470" cy="3700623"/>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18" name="TextBox 34">
            <a:extLst>
              <a:ext uri="{FF2B5EF4-FFF2-40B4-BE49-F238E27FC236}">
                <a16:creationId xmlns:a16="http://schemas.microsoft.com/office/drawing/2014/main" id="{476CE281-E602-4910-9433-6A65B35AC96E}"/>
              </a:ext>
            </a:extLst>
          </xdr:cNvPr>
          <xdr:cNvSpPr txBox="1"/>
        </xdr:nvSpPr>
        <xdr:spPr>
          <a:xfrm>
            <a:off x="12303097" y="968829"/>
            <a:ext cx="4033943" cy="176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0" bIns="0" rtlCol="0" anchor="ctr"/>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Coverage</a:t>
            </a:r>
            <a:r>
              <a:rPr lang="en-GB" sz="1100" b="1" baseline="0">
                <a:solidFill>
                  <a:schemeClr val="dk1"/>
                </a:solidFill>
                <a:effectLst/>
                <a:latin typeface="+mn-lt"/>
                <a:ea typeface="+mn-ea"/>
                <a:cs typeface="+mn-cs"/>
              </a:rPr>
              <a:t> units and risk distribution (including lapses)</a:t>
            </a:r>
            <a:endParaRPr lang="en-GB">
              <a:effectLst/>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327185</xdr:colOff>
      <xdr:row>0</xdr:row>
      <xdr:rowOff>111017</xdr:rowOff>
    </xdr:from>
    <xdr:to>
      <xdr:col>1</xdr:col>
      <xdr:colOff>1001248</xdr:colOff>
      <xdr:row>2</xdr:row>
      <xdr:rowOff>60544</xdr:rowOff>
    </xdr:to>
    <xdr:grpSp>
      <xdr:nvGrpSpPr>
        <xdr:cNvPr id="40" name="Group 3">
          <a:hlinkClick xmlns:r="http://schemas.openxmlformats.org/officeDocument/2006/relationships" r:id="rId1"/>
          <a:extLst>
            <a:ext uri="{FF2B5EF4-FFF2-40B4-BE49-F238E27FC236}">
              <a16:creationId xmlns:a16="http://schemas.microsoft.com/office/drawing/2014/main" id="{BFF3222D-64A3-4AAB-B6A1-EEF7EAF95B29}"/>
            </a:ext>
          </a:extLst>
        </xdr:cNvPr>
        <xdr:cNvGrpSpPr/>
      </xdr:nvGrpSpPr>
      <xdr:grpSpPr>
        <a:xfrm>
          <a:off x="327185" y="111017"/>
          <a:ext cx="1006077" cy="265213"/>
          <a:chOff x="2292668" y="2740184"/>
          <a:chExt cx="1005208" cy="328666"/>
        </a:xfrm>
        <a:effectLst>
          <a:outerShdw blurRad="50800" dist="50800" dir="5400000" algn="ctr" rotWithShape="0">
            <a:srgbClr val="000000">
              <a:alpha val="0"/>
            </a:srgbClr>
          </a:outerShdw>
        </a:effectLst>
      </xdr:grpSpPr>
      <xdr:sp macro="" textlink="">
        <xdr:nvSpPr>
          <xdr:cNvPr id="41" name="Tytuł 1">
            <a:extLst>
              <a:ext uri="{FF2B5EF4-FFF2-40B4-BE49-F238E27FC236}">
                <a16:creationId xmlns:a16="http://schemas.microsoft.com/office/drawing/2014/main" id="{B752F50F-9856-4F63-BF43-EAF0728BAEFC}"/>
              </a:ext>
            </a:extLst>
          </xdr:cNvPr>
          <xdr:cNvSpPr txBox="1">
            <a:spLocks/>
          </xdr:cNvSpPr>
        </xdr:nvSpPr>
        <xdr:spPr>
          <a:xfrm>
            <a:off x="2364116" y="2740184"/>
            <a:ext cx="874029" cy="225165"/>
          </a:xfrm>
          <a:prstGeom prst="rect">
            <a:avLst/>
          </a:prstGeom>
        </xdr:spPr>
        <xdr:txBody>
          <a:bodyPr vert="horz" wrap="square" lIns="0" tIns="0" rIns="0" bIns="0" rtlCol="0" anchor="ctr">
            <a:noAutofit/>
          </a:bodyPr>
          <a:lstStyle>
            <a:defPPr>
              <a:defRPr lang="pl-PL"/>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r>
              <a:rPr lang="pl-PL" sz="1300" b="1">
                <a:latin typeface="Ebrima" panose="02000000000000000000" pitchFamily="2" charset="0"/>
                <a:ea typeface="Ebrima" panose="02000000000000000000" pitchFamily="2" charset="0"/>
                <a:cs typeface="Ebrima" panose="02000000000000000000" pitchFamily="2" charset="0"/>
              </a:rPr>
              <a:t>3Blocks</a:t>
            </a:r>
            <a:r>
              <a:rPr lang="en-GB" sz="300" b="1">
                <a:latin typeface="Ebrima" panose="02000000000000000000" pitchFamily="2" charset="0"/>
                <a:ea typeface="Ebrima" panose="02000000000000000000" pitchFamily="2" charset="0"/>
                <a:cs typeface="Ebrima" panose="02000000000000000000" pitchFamily="2" charset="0"/>
              </a:rPr>
              <a:t> </a:t>
            </a:r>
            <a:r>
              <a:rPr lang="pl-PL" sz="600" b="1">
                <a:latin typeface="Ebrima" panose="02000000000000000000" pitchFamily="2" charset="0"/>
                <a:ea typeface="Ebrima" panose="02000000000000000000" pitchFamily="2" charset="0"/>
                <a:cs typeface="Ebrima" panose="02000000000000000000" pitchFamily="2" charset="0"/>
              </a:rPr>
              <a:t>®</a:t>
            </a:r>
          </a:p>
        </xdr:txBody>
      </xdr:sp>
      <xdr:grpSp>
        <xdr:nvGrpSpPr>
          <xdr:cNvPr id="42" name="Group 5">
            <a:extLst>
              <a:ext uri="{FF2B5EF4-FFF2-40B4-BE49-F238E27FC236}">
                <a16:creationId xmlns:a16="http://schemas.microsoft.com/office/drawing/2014/main" id="{452F744E-4A48-46C3-BF54-95C335FC88DE}"/>
              </a:ext>
            </a:extLst>
          </xdr:cNvPr>
          <xdr:cNvGrpSpPr>
            <a:grpSpLocks noChangeAspect="1"/>
          </xdr:cNvGrpSpPr>
        </xdr:nvGrpSpPr>
        <xdr:grpSpPr>
          <a:xfrm>
            <a:off x="2292668" y="2949307"/>
            <a:ext cx="1005208" cy="119543"/>
            <a:chOff x="2040001" y="3321847"/>
            <a:chExt cx="4540706" cy="540000"/>
          </a:xfrm>
        </xdr:grpSpPr>
        <xdr:sp macro="" textlink="">
          <xdr:nvSpPr>
            <xdr:cNvPr id="43" name="Prostokąt 15">
              <a:extLst>
                <a:ext uri="{FF2B5EF4-FFF2-40B4-BE49-F238E27FC236}">
                  <a16:creationId xmlns:a16="http://schemas.microsoft.com/office/drawing/2014/main" id="{D8979F4E-24CC-42E7-B902-3E5C153962C2}"/>
                </a:ext>
              </a:extLst>
            </xdr:cNvPr>
            <xdr:cNvSpPr>
              <a:spLocks noChangeAspect="1"/>
            </xdr:cNvSpPr>
          </xdr:nvSpPr>
          <xdr:spPr>
            <a:xfrm>
              <a:off x="2040001" y="3321847"/>
              <a:ext cx="1440000" cy="540000"/>
            </a:xfrm>
            <a:prstGeom prst="rect">
              <a:avLst/>
            </a:prstGeom>
            <a:solidFill>
              <a:srgbClr val="FF616C"/>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44" name="Prostokąt 16">
              <a:extLst>
                <a:ext uri="{FF2B5EF4-FFF2-40B4-BE49-F238E27FC236}">
                  <a16:creationId xmlns:a16="http://schemas.microsoft.com/office/drawing/2014/main" id="{F8A54544-46C9-4676-949D-0E9BAE109237}"/>
                </a:ext>
              </a:extLst>
            </xdr:cNvPr>
            <xdr:cNvSpPr>
              <a:spLocks noChangeAspect="1"/>
            </xdr:cNvSpPr>
          </xdr:nvSpPr>
          <xdr:spPr>
            <a:xfrm>
              <a:off x="5140707" y="3321847"/>
              <a:ext cx="1440000" cy="540000"/>
            </a:xfrm>
            <a:prstGeom prst="rect">
              <a:avLst/>
            </a:prstGeom>
            <a:solidFill>
              <a:srgbClr val="45A3F9"/>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45" name="Prostokąt 17">
              <a:extLst>
                <a:ext uri="{FF2B5EF4-FFF2-40B4-BE49-F238E27FC236}">
                  <a16:creationId xmlns:a16="http://schemas.microsoft.com/office/drawing/2014/main" id="{B43E771F-D8C8-429A-8AC6-35E1582EBF4F}"/>
                </a:ext>
              </a:extLst>
            </xdr:cNvPr>
            <xdr:cNvSpPr>
              <a:spLocks noChangeAspect="1"/>
            </xdr:cNvSpPr>
          </xdr:nvSpPr>
          <xdr:spPr>
            <a:xfrm>
              <a:off x="3590354" y="3321847"/>
              <a:ext cx="1440000" cy="540000"/>
            </a:xfrm>
            <a:prstGeom prst="rect">
              <a:avLst/>
            </a:prstGeom>
            <a:solidFill>
              <a:srgbClr val="FCC220"/>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grpSp>
    </xdr:grpSp>
    <xdr:clientData/>
  </xdr:twoCellAnchor>
  <xdr:twoCellAnchor editAs="absolute">
    <xdr:from>
      <xdr:col>2</xdr:col>
      <xdr:colOff>2403944</xdr:colOff>
      <xdr:row>0</xdr:row>
      <xdr:rowOff>117636</xdr:rowOff>
    </xdr:from>
    <xdr:to>
      <xdr:col>2</xdr:col>
      <xdr:colOff>5055870</xdr:colOff>
      <xdr:row>2</xdr:row>
      <xdr:rowOff>111228</xdr:rowOff>
    </xdr:to>
    <xdr:sp macro="" textlink="">
      <xdr:nvSpPr>
        <xdr:cNvPr id="46" name="TextBox 9">
          <a:extLst>
            <a:ext uri="{FF2B5EF4-FFF2-40B4-BE49-F238E27FC236}">
              <a16:creationId xmlns:a16="http://schemas.microsoft.com/office/drawing/2014/main" id="{1A994C78-76C7-4FB2-843D-0512C317454D}"/>
            </a:ext>
          </a:extLst>
        </xdr:cNvPr>
        <xdr:cNvSpPr txBox="1"/>
      </xdr:nvSpPr>
      <xdr:spPr>
        <a:xfrm>
          <a:off x="4503254" y="117636"/>
          <a:ext cx="2651926" cy="3593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accent1">
                  <a:lumMod val="75000"/>
                </a:schemeClr>
              </a:solidFill>
            </a:rPr>
            <a:t>Gross PAA Eligibility Check - v2.1</a:t>
          </a:r>
          <a:endParaRPr lang="en-GB" sz="1400" b="1">
            <a:solidFill>
              <a:schemeClr val="accent1">
                <a:lumMod val="75000"/>
              </a:schemeClr>
            </a:solidFill>
          </a:endParaRPr>
        </a:p>
      </xdr:txBody>
    </xdr:sp>
    <xdr:clientData/>
  </xdr:twoCellAnchor>
  <xdr:twoCellAnchor editAs="absolute">
    <xdr:from>
      <xdr:col>2</xdr:col>
      <xdr:colOff>5596412</xdr:colOff>
      <xdr:row>0</xdr:row>
      <xdr:rowOff>92871</xdr:rowOff>
    </xdr:from>
    <xdr:to>
      <xdr:col>2</xdr:col>
      <xdr:colOff>7501497</xdr:colOff>
      <xdr:row>2</xdr:row>
      <xdr:rowOff>107418</xdr:rowOff>
    </xdr:to>
    <xdr:sp macro="" textlink="">
      <xdr:nvSpPr>
        <xdr:cNvPr id="47" name="TextBox 10">
          <a:hlinkClick xmlns:r="http://schemas.openxmlformats.org/officeDocument/2006/relationships" r:id="rId1"/>
          <a:extLst>
            <a:ext uri="{FF2B5EF4-FFF2-40B4-BE49-F238E27FC236}">
              <a16:creationId xmlns:a16="http://schemas.microsoft.com/office/drawing/2014/main" id="{C6DEB00F-36B8-40BB-BB07-3606AAD25FE5}"/>
            </a:ext>
          </a:extLst>
        </xdr:cNvPr>
        <xdr:cNvSpPr txBox="1"/>
      </xdr:nvSpPr>
      <xdr:spPr>
        <a:xfrm>
          <a:off x="7695722" y="92871"/>
          <a:ext cx="1905085" cy="3803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GB" sz="1400" b="1">
              <a:solidFill>
                <a:schemeClr val="tx1">
                  <a:lumMod val="65000"/>
                  <a:lumOff val="35000"/>
                </a:schemeClr>
              </a:solidFill>
            </a:rPr>
            <a:t>[ www.3blocks.co ]</a:t>
          </a:r>
        </a:p>
      </xdr:txBody>
    </xdr:sp>
    <xdr:clientData/>
  </xdr:twoCellAnchor>
  <xdr:twoCellAnchor editAs="absolute">
    <xdr:from>
      <xdr:col>1</xdr:col>
      <xdr:colOff>1634697</xdr:colOff>
      <xdr:row>0</xdr:row>
      <xdr:rowOff>117636</xdr:rowOff>
    </xdr:from>
    <xdr:to>
      <xdr:col>2</xdr:col>
      <xdr:colOff>2015675</xdr:colOff>
      <xdr:row>2</xdr:row>
      <xdr:rowOff>111228</xdr:rowOff>
    </xdr:to>
    <xdr:sp macro="" textlink="">
      <xdr:nvSpPr>
        <xdr:cNvPr id="48" name="TextBox 20">
          <a:extLst>
            <a:ext uri="{FF2B5EF4-FFF2-40B4-BE49-F238E27FC236}">
              <a16:creationId xmlns:a16="http://schemas.microsoft.com/office/drawing/2014/main" id="{5100A068-3893-4DC1-9E3F-81DD070007AD}"/>
            </a:ext>
          </a:extLst>
        </xdr:cNvPr>
        <xdr:cNvSpPr txBox="1"/>
      </xdr:nvSpPr>
      <xdr:spPr>
        <a:xfrm>
          <a:off x="1966711" y="117636"/>
          <a:ext cx="2149907" cy="3637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l-PL" sz="1400" b="1" baseline="0">
              <a:solidFill>
                <a:schemeClr val="tx1"/>
              </a:solidFill>
            </a:rPr>
            <a:t>Input instruction</a:t>
          </a:r>
          <a:r>
            <a:rPr lang="en-GB" sz="1400" b="1" baseline="0">
              <a:solidFill>
                <a:schemeClr val="tx1"/>
              </a:solidFill>
            </a:rPr>
            <a:t>s</a:t>
          </a:r>
          <a:endParaRPr lang="en-GB" sz="1400" b="1">
            <a:solidFill>
              <a:schemeClr val="tx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absolute">
    <xdr:from>
      <xdr:col>1</xdr:col>
      <xdr:colOff>7620</xdr:colOff>
      <xdr:row>0</xdr:row>
      <xdr:rowOff>79106</xdr:rowOff>
    </xdr:from>
    <xdr:to>
      <xdr:col>2</xdr:col>
      <xdr:colOff>375658</xdr:colOff>
      <xdr:row>2</xdr:row>
      <xdr:rowOff>57797</xdr:rowOff>
    </xdr:to>
    <xdr:grpSp>
      <xdr:nvGrpSpPr>
        <xdr:cNvPr id="2" name="Group 1">
          <a:hlinkClick xmlns:r="http://schemas.openxmlformats.org/officeDocument/2006/relationships" r:id="rId1"/>
          <a:extLst>
            <a:ext uri="{FF2B5EF4-FFF2-40B4-BE49-F238E27FC236}">
              <a16:creationId xmlns:a16="http://schemas.microsoft.com/office/drawing/2014/main" id="{7C3A6450-DF33-41B5-B4F4-CEB427DA676A}"/>
            </a:ext>
          </a:extLst>
        </xdr:cNvPr>
        <xdr:cNvGrpSpPr/>
      </xdr:nvGrpSpPr>
      <xdr:grpSpPr>
        <a:xfrm>
          <a:off x="383177" y="79106"/>
          <a:ext cx="1021181" cy="305262"/>
          <a:chOff x="2292668" y="2740184"/>
          <a:chExt cx="1005208" cy="328666"/>
        </a:xfrm>
        <a:effectLst>
          <a:outerShdw blurRad="50800" dist="50800" dir="5400000" algn="ctr" rotWithShape="0">
            <a:srgbClr val="000000">
              <a:alpha val="0"/>
            </a:srgbClr>
          </a:outerShdw>
        </a:effectLst>
      </xdr:grpSpPr>
      <xdr:sp macro="" textlink="">
        <xdr:nvSpPr>
          <xdr:cNvPr id="3" name="Tytuł 1">
            <a:extLst>
              <a:ext uri="{FF2B5EF4-FFF2-40B4-BE49-F238E27FC236}">
                <a16:creationId xmlns:a16="http://schemas.microsoft.com/office/drawing/2014/main" id="{6216AE06-BF8C-47E7-BEF3-A489FB7AD2E9}"/>
              </a:ext>
            </a:extLst>
          </xdr:cNvPr>
          <xdr:cNvSpPr txBox="1">
            <a:spLocks/>
          </xdr:cNvSpPr>
        </xdr:nvSpPr>
        <xdr:spPr>
          <a:xfrm>
            <a:off x="2364116" y="2740184"/>
            <a:ext cx="874029" cy="225165"/>
          </a:xfrm>
          <a:prstGeom prst="rect">
            <a:avLst/>
          </a:prstGeom>
        </xdr:spPr>
        <xdr:txBody>
          <a:bodyPr vert="horz" wrap="square" lIns="0" tIns="0" rIns="0" bIns="0" rtlCol="0" anchor="ctr">
            <a:noAutofit/>
          </a:bodyPr>
          <a:lstStyle>
            <a:defPPr>
              <a:defRPr lang="pl-PL"/>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r>
              <a:rPr lang="pl-PL" sz="1300" b="1">
                <a:latin typeface="Ebrima" panose="02000000000000000000" pitchFamily="2" charset="0"/>
                <a:ea typeface="Ebrima" panose="02000000000000000000" pitchFamily="2" charset="0"/>
                <a:cs typeface="Ebrima" panose="02000000000000000000" pitchFamily="2" charset="0"/>
              </a:rPr>
              <a:t>3Blocks</a:t>
            </a:r>
            <a:r>
              <a:rPr lang="en-GB" sz="300" b="1">
                <a:latin typeface="Ebrima" panose="02000000000000000000" pitchFamily="2" charset="0"/>
                <a:ea typeface="Ebrima" panose="02000000000000000000" pitchFamily="2" charset="0"/>
                <a:cs typeface="Ebrima" panose="02000000000000000000" pitchFamily="2" charset="0"/>
              </a:rPr>
              <a:t> </a:t>
            </a:r>
            <a:r>
              <a:rPr lang="pl-PL" sz="600" b="1">
                <a:latin typeface="Ebrima" panose="02000000000000000000" pitchFamily="2" charset="0"/>
                <a:ea typeface="Ebrima" panose="02000000000000000000" pitchFamily="2" charset="0"/>
                <a:cs typeface="Ebrima" panose="02000000000000000000" pitchFamily="2" charset="0"/>
              </a:rPr>
              <a:t>®</a:t>
            </a:r>
          </a:p>
        </xdr:txBody>
      </xdr:sp>
      <xdr:grpSp>
        <xdr:nvGrpSpPr>
          <xdr:cNvPr id="4" name="Group 3">
            <a:extLst>
              <a:ext uri="{FF2B5EF4-FFF2-40B4-BE49-F238E27FC236}">
                <a16:creationId xmlns:a16="http://schemas.microsoft.com/office/drawing/2014/main" id="{16958284-BAE5-4F98-B784-0820B372E472}"/>
              </a:ext>
            </a:extLst>
          </xdr:cNvPr>
          <xdr:cNvGrpSpPr>
            <a:grpSpLocks noChangeAspect="1"/>
          </xdr:cNvGrpSpPr>
        </xdr:nvGrpSpPr>
        <xdr:grpSpPr>
          <a:xfrm>
            <a:off x="2292668" y="2949307"/>
            <a:ext cx="1005208" cy="119543"/>
            <a:chOff x="2040001" y="3321847"/>
            <a:chExt cx="4540706" cy="540000"/>
          </a:xfrm>
        </xdr:grpSpPr>
        <xdr:sp macro="" textlink="">
          <xdr:nvSpPr>
            <xdr:cNvPr id="5" name="Prostokąt 15">
              <a:extLst>
                <a:ext uri="{FF2B5EF4-FFF2-40B4-BE49-F238E27FC236}">
                  <a16:creationId xmlns:a16="http://schemas.microsoft.com/office/drawing/2014/main" id="{63170D60-4DAA-4AB1-9218-9946BE2B30A0}"/>
                </a:ext>
              </a:extLst>
            </xdr:cNvPr>
            <xdr:cNvSpPr>
              <a:spLocks noChangeAspect="1"/>
            </xdr:cNvSpPr>
          </xdr:nvSpPr>
          <xdr:spPr>
            <a:xfrm>
              <a:off x="2040001" y="3321847"/>
              <a:ext cx="1440000" cy="540000"/>
            </a:xfrm>
            <a:prstGeom prst="rect">
              <a:avLst/>
            </a:prstGeom>
            <a:solidFill>
              <a:srgbClr val="FF616C"/>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6" name="Prostokąt 16">
              <a:extLst>
                <a:ext uri="{FF2B5EF4-FFF2-40B4-BE49-F238E27FC236}">
                  <a16:creationId xmlns:a16="http://schemas.microsoft.com/office/drawing/2014/main" id="{8CEFAA90-9F3A-4FDF-B7EB-E89284B043DC}"/>
                </a:ext>
              </a:extLst>
            </xdr:cNvPr>
            <xdr:cNvSpPr>
              <a:spLocks noChangeAspect="1"/>
            </xdr:cNvSpPr>
          </xdr:nvSpPr>
          <xdr:spPr>
            <a:xfrm>
              <a:off x="5140707" y="3321847"/>
              <a:ext cx="1440000" cy="540000"/>
            </a:xfrm>
            <a:prstGeom prst="rect">
              <a:avLst/>
            </a:prstGeom>
            <a:solidFill>
              <a:srgbClr val="45A3F9"/>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7" name="Prostokąt 17">
              <a:extLst>
                <a:ext uri="{FF2B5EF4-FFF2-40B4-BE49-F238E27FC236}">
                  <a16:creationId xmlns:a16="http://schemas.microsoft.com/office/drawing/2014/main" id="{50FF561B-A0FC-429D-8E83-08FB69361451}"/>
                </a:ext>
              </a:extLst>
            </xdr:cNvPr>
            <xdr:cNvSpPr>
              <a:spLocks noChangeAspect="1"/>
            </xdr:cNvSpPr>
          </xdr:nvSpPr>
          <xdr:spPr>
            <a:xfrm>
              <a:off x="3590354" y="3321847"/>
              <a:ext cx="1440000" cy="540000"/>
            </a:xfrm>
            <a:prstGeom prst="rect">
              <a:avLst/>
            </a:prstGeom>
            <a:solidFill>
              <a:srgbClr val="FCC220"/>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grpSp>
    </xdr:grpSp>
    <xdr:clientData/>
  </xdr:twoCellAnchor>
  <xdr:twoCellAnchor editAs="absolute">
    <xdr:from>
      <xdr:col>2</xdr:col>
      <xdr:colOff>2472690</xdr:colOff>
      <xdr:row>0</xdr:row>
      <xdr:rowOff>91440</xdr:rowOff>
    </xdr:from>
    <xdr:to>
      <xdr:col>6</xdr:col>
      <xdr:colOff>337729</xdr:colOff>
      <xdr:row>2</xdr:row>
      <xdr:rowOff>108481</xdr:rowOff>
    </xdr:to>
    <xdr:sp macro="" textlink="">
      <xdr:nvSpPr>
        <xdr:cNvPr id="8" name="TextBox 7">
          <a:extLst>
            <a:ext uri="{FF2B5EF4-FFF2-40B4-BE49-F238E27FC236}">
              <a16:creationId xmlns:a16="http://schemas.microsoft.com/office/drawing/2014/main" id="{DCA23035-4FA2-453A-8A14-DA57CA9DE7F2}"/>
            </a:ext>
          </a:extLst>
        </xdr:cNvPr>
        <xdr:cNvSpPr txBox="1"/>
      </xdr:nvSpPr>
      <xdr:spPr>
        <a:xfrm>
          <a:off x="3497580" y="91440"/>
          <a:ext cx="2810419" cy="344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accent1">
                  <a:lumMod val="75000"/>
                </a:schemeClr>
              </a:solidFill>
            </a:rPr>
            <a:t>Gross PAA Eligibility Check - v2.1</a:t>
          </a:r>
          <a:endParaRPr lang="en-GB" sz="1400" b="1">
            <a:solidFill>
              <a:schemeClr val="accent1">
                <a:lumMod val="75000"/>
              </a:schemeClr>
            </a:solidFill>
          </a:endParaRPr>
        </a:p>
      </xdr:txBody>
    </xdr:sp>
    <xdr:clientData/>
  </xdr:twoCellAnchor>
  <xdr:twoCellAnchor editAs="absolute">
    <xdr:from>
      <xdr:col>7</xdr:col>
      <xdr:colOff>164643</xdr:colOff>
      <xdr:row>0</xdr:row>
      <xdr:rowOff>76200</xdr:rowOff>
    </xdr:from>
    <xdr:to>
      <xdr:col>10</xdr:col>
      <xdr:colOff>222884</xdr:colOff>
      <xdr:row>2</xdr:row>
      <xdr:rowOff>93241</xdr:rowOff>
    </xdr:to>
    <xdr:sp macro="" textlink="">
      <xdr:nvSpPr>
        <xdr:cNvPr id="9" name="TextBox 8">
          <a:hlinkClick xmlns:r="http://schemas.openxmlformats.org/officeDocument/2006/relationships" r:id="rId1"/>
          <a:extLst>
            <a:ext uri="{FF2B5EF4-FFF2-40B4-BE49-F238E27FC236}">
              <a16:creationId xmlns:a16="http://schemas.microsoft.com/office/drawing/2014/main" id="{EF2500AA-F26F-4A25-8CC8-949259AA037E}"/>
            </a:ext>
          </a:extLst>
        </xdr:cNvPr>
        <xdr:cNvSpPr txBox="1"/>
      </xdr:nvSpPr>
      <xdr:spPr>
        <a:xfrm>
          <a:off x="6797853" y="76200"/>
          <a:ext cx="2047061" cy="344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a:solidFill>
                <a:schemeClr val="tx1">
                  <a:lumMod val="65000"/>
                  <a:lumOff val="35000"/>
                </a:schemeClr>
              </a:solidFill>
            </a:rPr>
            <a:t>[ www.3blocks.co ]</a:t>
          </a:r>
        </a:p>
      </xdr:txBody>
    </xdr:sp>
    <xdr:clientData/>
  </xdr:twoCellAnchor>
  <xdr:twoCellAnchor editAs="absolute">
    <xdr:from>
      <xdr:col>2</xdr:col>
      <xdr:colOff>840106</xdr:colOff>
      <xdr:row>0</xdr:row>
      <xdr:rowOff>91440</xdr:rowOff>
    </xdr:from>
    <xdr:to>
      <xdr:col>2</xdr:col>
      <xdr:colOff>1847850</xdr:colOff>
      <xdr:row>2</xdr:row>
      <xdr:rowOff>108481</xdr:rowOff>
    </xdr:to>
    <xdr:sp macro="" textlink="">
      <xdr:nvSpPr>
        <xdr:cNvPr id="10" name="TextBox 9">
          <a:extLst>
            <a:ext uri="{FF2B5EF4-FFF2-40B4-BE49-F238E27FC236}">
              <a16:creationId xmlns:a16="http://schemas.microsoft.com/office/drawing/2014/main" id="{A09CD65F-4F4E-480C-AF3E-7BE3D8107705}"/>
            </a:ext>
          </a:extLst>
        </xdr:cNvPr>
        <xdr:cNvSpPr txBox="1"/>
      </xdr:nvSpPr>
      <xdr:spPr>
        <a:xfrm>
          <a:off x="1864996" y="91440"/>
          <a:ext cx="1007744" cy="344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400" b="1" baseline="0">
              <a:solidFill>
                <a:schemeClr val="tx1"/>
              </a:solidFill>
            </a:rPr>
            <a:t>Checks</a:t>
          </a:r>
          <a:endParaRPr lang="en-GB" sz="1400" b="1">
            <a:solidFill>
              <a:schemeClr val="tx1"/>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absolute">
    <xdr:from>
      <xdr:col>1</xdr:col>
      <xdr:colOff>7620</xdr:colOff>
      <xdr:row>0</xdr:row>
      <xdr:rowOff>79106</xdr:rowOff>
    </xdr:from>
    <xdr:to>
      <xdr:col>2</xdr:col>
      <xdr:colOff>653788</xdr:colOff>
      <xdr:row>2</xdr:row>
      <xdr:rowOff>57797</xdr:rowOff>
    </xdr:to>
    <xdr:grpSp>
      <xdr:nvGrpSpPr>
        <xdr:cNvPr id="2" name="Group 1">
          <a:hlinkClick xmlns:r="http://schemas.openxmlformats.org/officeDocument/2006/relationships" r:id="rId1"/>
          <a:extLst>
            <a:ext uri="{FF2B5EF4-FFF2-40B4-BE49-F238E27FC236}">
              <a16:creationId xmlns:a16="http://schemas.microsoft.com/office/drawing/2014/main" id="{00000000-0008-0000-0A00-000002000000}"/>
            </a:ext>
          </a:extLst>
        </xdr:cNvPr>
        <xdr:cNvGrpSpPr/>
      </xdr:nvGrpSpPr>
      <xdr:grpSpPr>
        <a:xfrm>
          <a:off x="379095" y="79106"/>
          <a:ext cx="1017643" cy="302541"/>
          <a:chOff x="2292668" y="2740184"/>
          <a:chExt cx="1005208" cy="328666"/>
        </a:xfrm>
        <a:effectLst>
          <a:outerShdw blurRad="50800" dist="50800" dir="5400000" algn="ctr" rotWithShape="0">
            <a:srgbClr val="000000">
              <a:alpha val="0"/>
            </a:srgbClr>
          </a:outerShdw>
        </a:effectLst>
      </xdr:grpSpPr>
      <xdr:sp macro="" textlink="">
        <xdr:nvSpPr>
          <xdr:cNvPr id="3" name="Tytuł 1">
            <a:extLst>
              <a:ext uri="{FF2B5EF4-FFF2-40B4-BE49-F238E27FC236}">
                <a16:creationId xmlns:a16="http://schemas.microsoft.com/office/drawing/2014/main" id="{00000000-0008-0000-0A00-000003000000}"/>
              </a:ext>
            </a:extLst>
          </xdr:cNvPr>
          <xdr:cNvSpPr txBox="1">
            <a:spLocks/>
          </xdr:cNvSpPr>
        </xdr:nvSpPr>
        <xdr:spPr>
          <a:xfrm>
            <a:off x="2364116" y="2740184"/>
            <a:ext cx="874029" cy="225165"/>
          </a:xfrm>
          <a:prstGeom prst="rect">
            <a:avLst/>
          </a:prstGeom>
        </xdr:spPr>
        <xdr:txBody>
          <a:bodyPr vert="horz" wrap="square" lIns="0" tIns="0" rIns="0" bIns="0" rtlCol="0" anchor="ctr">
            <a:noAutofit/>
          </a:bodyPr>
          <a:lstStyle>
            <a:defPPr>
              <a:defRPr lang="pl-PL"/>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r>
              <a:rPr lang="pl-PL" sz="1300" b="1">
                <a:latin typeface="Ebrima" panose="02000000000000000000" pitchFamily="2" charset="0"/>
                <a:ea typeface="Ebrima" panose="02000000000000000000" pitchFamily="2" charset="0"/>
                <a:cs typeface="Ebrima" panose="02000000000000000000" pitchFamily="2" charset="0"/>
              </a:rPr>
              <a:t>3Blocks</a:t>
            </a:r>
            <a:r>
              <a:rPr lang="en-GB" sz="300" b="1">
                <a:latin typeface="Ebrima" panose="02000000000000000000" pitchFamily="2" charset="0"/>
                <a:ea typeface="Ebrima" panose="02000000000000000000" pitchFamily="2" charset="0"/>
                <a:cs typeface="Ebrima" panose="02000000000000000000" pitchFamily="2" charset="0"/>
              </a:rPr>
              <a:t> </a:t>
            </a:r>
            <a:r>
              <a:rPr lang="pl-PL" sz="600" b="1">
                <a:latin typeface="Ebrima" panose="02000000000000000000" pitchFamily="2" charset="0"/>
                <a:ea typeface="Ebrima" panose="02000000000000000000" pitchFamily="2" charset="0"/>
                <a:cs typeface="Ebrima" panose="02000000000000000000" pitchFamily="2" charset="0"/>
              </a:rPr>
              <a:t>®</a:t>
            </a:r>
          </a:p>
        </xdr:txBody>
      </xdr:sp>
      <xdr:grpSp>
        <xdr:nvGrpSpPr>
          <xdr:cNvPr id="4" name="Group 3">
            <a:extLst>
              <a:ext uri="{FF2B5EF4-FFF2-40B4-BE49-F238E27FC236}">
                <a16:creationId xmlns:a16="http://schemas.microsoft.com/office/drawing/2014/main" id="{00000000-0008-0000-0A00-000004000000}"/>
              </a:ext>
            </a:extLst>
          </xdr:cNvPr>
          <xdr:cNvGrpSpPr>
            <a:grpSpLocks noChangeAspect="1"/>
          </xdr:cNvGrpSpPr>
        </xdr:nvGrpSpPr>
        <xdr:grpSpPr>
          <a:xfrm>
            <a:off x="2292668" y="2949307"/>
            <a:ext cx="1005208" cy="119543"/>
            <a:chOff x="2040001" y="3321847"/>
            <a:chExt cx="4540706" cy="540000"/>
          </a:xfrm>
        </xdr:grpSpPr>
        <xdr:sp macro="" textlink="">
          <xdr:nvSpPr>
            <xdr:cNvPr id="5" name="Prostokąt 15">
              <a:extLst>
                <a:ext uri="{FF2B5EF4-FFF2-40B4-BE49-F238E27FC236}">
                  <a16:creationId xmlns:a16="http://schemas.microsoft.com/office/drawing/2014/main" id="{00000000-0008-0000-0A00-000005000000}"/>
                </a:ext>
              </a:extLst>
            </xdr:cNvPr>
            <xdr:cNvSpPr>
              <a:spLocks noChangeAspect="1"/>
            </xdr:cNvSpPr>
          </xdr:nvSpPr>
          <xdr:spPr>
            <a:xfrm>
              <a:off x="2040001" y="3321847"/>
              <a:ext cx="1440000" cy="540000"/>
            </a:xfrm>
            <a:prstGeom prst="rect">
              <a:avLst/>
            </a:prstGeom>
            <a:solidFill>
              <a:srgbClr val="FF616C"/>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6" name="Prostokąt 16">
              <a:extLst>
                <a:ext uri="{FF2B5EF4-FFF2-40B4-BE49-F238E27FC236}">
                  <a16:creationId xmlns:a16="http://schemas.microsoft.com/office/drawing/2014/main" id="{00000000-0008-0000-0A00-000006000000}"/>
                </a:ext>
              </a:extLst>
            </xdr:cNvPr>
            <xdr:cNvSpPr>
              <a:spLocks noChangeAspect="1"/>
            </xdr:cNvSpPr>
          </xdr:nvSpPr>
          <xdr:spPr>
            <a:xfrm>
              <a:off x="5140707" y="3321847"/>
              <a:ext cx="1440000" cy="540000"/>
            </a:xfrm>
            <a:prstGeom prst="rect">
              <a:avLst/>
            </a:prstGeom>
            <a:solidFill>
              <a:srgbClr val="45A3F9"/>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7" name="Prostokąt 17">
              <a:extLst>
                <a:ext uri="{FF2B5EF4-FFF2-40B4-BE49-F238E27FC236}">
                  <a16:creationId xmlns:a16="http://schemas.microsoft.com/office/drawing/2014/main" id="{00000000-0008-0000-0A00-000007000000}"/>
                </a:ext>
              </a:extLst>
            </xdr:cNvPr>
            <xdr:cNvSpPr>
              <a:spLocks noChangeAspect="1"/>
            </xdr:cNvSpPr>
          </xdr:nvSpPr>
          <xdr:spPr>
            <a:xfrm>
              <a:off x="3590354" y="3321847"/>
              <a:ext cx="1440000" cy="540000"/>
            </a:xfrm>
            <a:prstGeom prst="rect">
              <a:avLst/>
            </a:prstGeom>
            <a:solidFill>
              <a:srgbClr val="FCC220"/>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grpSp>
    </xdr:grpSp>
    <xdr:clientData/>
  </xdr:twoCellAnchor>
  <xdr:twoCellAnchor editAs="absolute">
    <xdr:from>
      <xdr:col>6</xdr:col>
      <xdr:colOff>354330</xdr:colOff>
      <xdr:row>0</xdr:row>
      <xdr:rowOff>91440</xdr:rowOff>
    </xdr:from>
    <xdr:to>
      <xdr:col>10</xdr:col>
      <xdr:colOff>105319</xdr:colOff>
      <xdr:row>2</xdr:row>
      <xdr:rowOff>108481</xdr:rowOff>
    </xdr:to>
    <xdr:sp macro="" textlink="">
      <xdr:nvSpPr>
        <xdr:cNvPr id="8" name="TextBox 7">
          <a:extLst>
            <a:ext uri="{FF2B5EF4-FFF2-40B4-BE49-F238E27FC236}">
              <a16:creationId xmlns:a16="http://schemas.microsoft.com/office/drawing/2014/main" id="{00000000-0008-0000-0A00-000008000000}"/>
            </a:ext>
          </a:extLst>
        </xdr:cNvPr>
        <xdr:cNvSpPr txBox="1"/>
      </xdr:nvSpPr>
      <xdr:spPr>
        <a:xfrm>
          <a:off x="4042410" y="91440"/>
          <a:ext cx="2692309" cy="344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accent1">
                  <a:lumMod val="75000"/>
                </a:schemeClr>
              </a:solidFill>
            </a:rPr>
            <a:t>Gross PAA Eligibility Check - v2.1</a:t>
          </a:r>
          <a:endParaRPr lang="en-GB" sz="1400" b="1">
            <a:solidFill>
              <a:schemeClr val="accent1">
                <a:lumMod val="75000"/>
              </a:schemeClr>
            </a:solidFill>
          </a:endParaRPr>
        </a:p>
      </xdr:txBody>
    </xdr:sp>
    <xdr:clientData/>
  </xdr:twoCellAnchor>
  <xdr:twoCellAnchor editAs="absolute">
    <xdr:from>
      <xdr:col>10</xdr:col>
      <xdr:colOff>412293</xdr:colOff>
      <xdr:row>0</xdr:row>
      <xdr:rowOff>76200</xdr:rowOff>
    </xdr:from>
    <xdr:to>
      <xdr:col>13</xdr:col>
      <xdr:colOff>470534</xdr:colOff>
      <xdr:row>2</xdr:row>
      <xdr:rowOff>93241</xdr:rowOff>
    </xdr:to>
    <xdr:sp macro="" textlink="">
      <xdr:nvSpPr>
        <xdr:cNvPr id="9" name="TextBox 8">
          <a:hlinkClick xmlns:r="http://schemas.openxmlformats.org/officeDocument/2006/relationships" r:id="rId1"/>
          <a:extLst>
            <a:ext uri="{FF2B5EF4-FFF2-40B4-BE49-F238E27FC236}">
              <a16:creationId xmlns:a16="http://schemas.microsoft.com/office/drawing/2014/main" id="{00000000-0008-0000-0A00-000009000000}"/>
            </a:ext>
          </a:extLst>
        </xdr:cNvPr>
        <xdr:cNvSpPr txBox="1"/>
      </xdr:nvSpPr>
      <xdr:spPr>
        <a:xfrm>
          <a:off x="6658788" y="76200"/>
          <a:ext cx="1932761" cy="3675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400" b="1">
              <a:solidFill>
                <a:schemeClr val="tx1">
                  <a:lumMod val="65000"/>
                  <a:lumOff val="35000"/>
                </a:schemeClr>
              </a:solidFill>
            </a:rPr>
            <a:t>[ www.3blocks.co ]</a:t>
          </a:r>
        </a:p>
      </xdr:txBody>
    </xdr:sp>
    <xdr:clientData/>
  </xdr:twoCellAnchor>
  <xdr:twoCellAnchor editAs="absolute">
    <xdr:from>
      <xdr:col>3</xdr:col>
      <xdr:colOff>165736</xdr:colOff>
      <xdr:row>0</xdr:row>
      <xdr:rowOff>91440</xdr:rowOff>
    </xdr:from>
    <xdr:to>
      <xdr:col>6</xdr:col>
      <xdr:colOff>45720</xdr:colOff>
      <xdr:row>2</xdr:row>
      <xdr:rowOff>108481</xdr:rowOff>
    </xdr:to>
    <xdr:sp macro="" textlink="">
      <xdr:nvSpPr>
        <xdr:cNvPr id="10" name="TextBox 9">
          <a:extLst>
            <a:ext uri="{FF2B5EF4-FFF2-40B4-BE49-F238E27FC236}">
              <a16:creationId xmlns:a16="http://schemas.microsoft.com/office/drawing/2014/main" id="{00000000-0008-0000-0A00-00000A000000}"/>
            </a:ext>
          </a:extLst>
        </xdr:cNvPr>
        <xdr:cNvSpPr txBox="1"/>
      </xdr:nvSpPr>
      <xdr:spPr>
        <a:xfrm>
          <a:off x="1864996" y="91440"/>
          <a:ext cx="1868804" cy="344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400" b="1" baseline="0">
              <a:solidFill>
                <a:schemeClr val="tx1"/>
              </a:solidFill>
            </a:rPr>
            <a:t>Abbreviations</a:t>
          </a:r>
          <a:endParaRPr lang="en-GB" sz="1400" b="1">
            <a:solidFill>
              <a:schemeClr val="tx1"/>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editAs="absolute">
    <xdr:from>
      <xdr:col>1</xdr:col>
      <xdr:colOff>32657</xdr:colOff>
      <xdr:row>0</xdr:row>
      <xdr:rowOff>122650</xdr:rowOff>
    </xdr:from>
    <xdr:to>
      <xdr:col>3</xdr:col>
      <xdr:colOff>255642</xdr:colOff>
      <xdr:row>2</xdr:row>
      <xdr:rowOff>57798</xdr:rowOff>
    </xdr:to>
    <xdr:grpSp>
      <xdr:nvGrpSpPr>
        <xdr:cNvPr id="2" name="Group 1">
          <a:hlinkClick xmlns:r="http://schemas.openxmlformats.org/officeDocument/2006/relationships" r:id="rId1"/>
          <a:extLst>
            <a:ext uri="{FF2B5EF4-FFF2-40B4-BE49-F238E27FC236}">
              <a16:creationId xmlns:a16="http://schemas.microsoft.com/office/drawing/2014/main" id="{00000000-0008-0000-0900-000002000000}"/>
            </a:ext>
          </a:extLst>
        </xdr:cNvPr>
        <xdr:cNvGrpSpPr/>
      </xdr:nvGrpSpPr>
      <xdr:grpSpPr>
        <a:xfrm>
          <a:off x="342900" y="122650"/>
          <a:ext cx="1050299" cy="327034"/>
          <a:chOff x="2292668" y="2740184"/>
          <a:chExt cx="1005208" cy="328666"/>
        </a:xfrm>
        <a:effectLst>
          <a:outerShdw blurRad="50800" dist="50800" dir="5400000" algn="ctr" rotWithShape="0">
            <a:srgbClr val="000000">
              <a:alpha val="0"/>
            </a:srgbClr>
          </a:outerShdw>
        </a:effectLst>
      </xdr:grpSpPr>
      <xdr:sp macro="" textlink="">
        <xdr:nvSpPr>
          <xdr:cNvPr id="3" name="Tytuł 1">
            <a:extLst>
              <a:ext uri="{FF2B5EF4-FFF2-40B4-BE49-F238E27FC236}">
                <a16:creationId xmlns:a16="http://schemas.microsoft.com/office/drawing/2014/main" id="{00000000-0008-0000-0900-000003000000}"/>
              </a:ext>
            </a:extLst>
          </xdr:cNvPr>
          <xdr:cNvSpPr txBox="1">
            <a:spLocks/>
          </xdr:cNvSpPr>
        </xdr:nvSpPr>
        <xdr:spPr>
          <a:xfrm>
            <a:off x="2364116" y="2740184"/>
            <a:ext cx="874029" cy="225165"/>
          </a:xfrm>
          <a:prstGeom prst="rect">
            <a:avLst/>
          </a:prstGeom>
        </xdr:spPr>
        <xdr:txBody>
          <a:bodyPr vert="horz" wrap="square" lIns="0" tIns="0" rIns="0" bIns="0" rtlCol="0" anchor="ctr">
            <a:noAutofit/>
          </a:bodyPr>
          <a:lstStyle>
            <a:defPPr>
              <a:defRPr lang="pl-PL"/>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l"/>
            <a:r>
              <a:rPr lang="pl-PL" sz="1300" b="1">
                <a:latin typeface="Ebrima" panose="02000000000000000000" pitchFamily="2" charset="0"/>
                <a:ea typeface="Ebrima" panose="02000000000000000000" pitchFamily="2" charset="0"/>
                <a:cs typeface="Ebrima" panose="02000000000000000000" pitchFamily="2" charset="0"/>
              </a:rPr>
              <a:t>3Blocks</a:t>
            </a:r>
            <a:r>
              <a:rPr lang="en-GB" sz="300" b="1">
                <a:latin typeface="Ebrima" panose="02000000000000000000" pitchFamily="2" charset="0"/>
                <a:ea typeface="Ebrima" panose="02000000000000000000" pitchFamily="2" charset="0"/>
                <a:cs typeface="Ebrima" panose="02000000000000000000" pitchFamily="2" charset="0"/>
              </a:rPr>
              <a:t> </a:t>
            </a:r>
            <a:r>
              <a:rPr lang="pl-PL" sz="600" b="1">
                <a:latin typeface="Ebrima" panose="02000000000000000000" pitchFamily="2" charset="0"/>
                <a:ea typeface="Ebrima" panose="02000000000000000000" pitchFamily="2" charset="0"/>
                <a:cs typeface="Ebrima" panose="02000000000000000000" pitchFamily="2" charset="0"/>
              </a:rPr>
              <a:t>®</a:t>
            </a:r>
          </a:p>
        </xdr:txBody>
      </xdr:sp>
      <xdr:grpSp>
        <xdr:nvGrpSpPr>
          <xdr:cNvPr id="4" name="Group 3">
            <a:extLst>
              <a:ext uri="{FF2B5EF4-FFF2-40B4-BE49-F238E27FC236}">
                <a16:creationId xmlns:a16="http://schemas.microsoft.com/office/drawing/2014/main" id="{00000000-0008-0000-0900-000004000000}"/>
              </a:ext>
            </a:extLst>
          </xdr:cNvPr>
          <xdr:cNvGrpSpPr>
            <a:grpSpLocks noChangeAspect="1"/>
          </xdr:cNvGrpSpPr>
        </xdr:nvGrpSpPr>
        <xdr:grpSpPr>
          <a:xfrm>
            <a:off x="2292668" y="2949307"/>
            <a:ext cx="1005208" cy="119543"/>
            <a:chOff x="2040001" y="3321847"/>
            <a:chExt cx="4540706" cy="540000"/>
          </a:xfrm>
        </xdr:grpSpPr>
        <xdr:sp macro="" textlink="">
          <xdr:nvSpPr>
            <xdr:cNvPr id="5" name="Prostokąt 15">
              <a:extLst>
                <a:ext uri="{FF2B5EF4-FFF2-40B4-BE49-F238E27FC236}">
                  <a16:creationId xmlns:a16="http://schemas.microsoft.com/office/drawing/2014/main" id="{00000000-0008-0000-0900-000005000000}"/>
                </a:ext>
              </a:extLst>
            </xdr:cNvPr>
            <xdr:cNvSpPr>
              <a:spLocks noChangeAspect="1"/>
            </xdr:cNvSpPr>
          </xdr:nvSpPr>
          <xdr:spPr>
            <a:xfrm>
              <a:off x="2040001" y="3321847"/>
              <a:ext cx="1440000" cy="540000"/>
            </a:xfrm>
            <a:prstGeom prst="rect">
              <a:avLst/>
            </a:prstGeom>
            <a:solidFill>
              <a:srgbClr val="FF616C"/>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6" name="Prostokąt 16">
              <a:extLst>
                <a:ext uri="{FF2B5EF4-FFF2-40B4-BE49-F238E27FC236}">
                  <a16:creationId xmlns:a16="http://schemas.microsoft.com/office/drawing/2014/main" id="{00000000-0008-0000-0900-000006000000}"/>
                </a:ext>
              </a:extLst>
            </xdr:cNvPr>
            <xdr:cNvSpPr>
              <a:spLocks noChangeAspect="1"/>
            </xdr:cNvSpPr>
          </xdr:nvSpPr>
          <xdr:spPr>
            <a:xfrm>
              <a:off x="5140707" y="3321847"/>
              <a:ext cx="1440000" cy="540000"/>
            </a:xfrm>
            <a:prstGeom prst="rect">
              <a:avLst/>
            </a:prstGeom>
            <a:solidFill>
              <a:srgbClr val="45A3F9"/>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sp macro="" textlink="">
          <xdr:nvSpPr>
            <xdr:cNvPr id="7" name="Prostokąt 17">
              <a:extLst>
                <a:ext uri="{FF2B5EF4-FFF2-40B4-BE49-F238E27FC236}">
                  <a16:creationId xmlns:a16="http://schemas.microsoft.com/office/drawing/2014/main" id="{00000000-0008-0000-0900-000007000000}"/>
                </a:ext>
              </a:extLst>
            </xdr:cNvPr>
            <xdr:cNvSpPr>
              <a:spLocks noChangeAspect="1"/>
            </xdr:cNvSpPr>
          </xdr:nvSpPr>
          <xdr:spPr>
            <a:xfrm>
              <a:off x="3590354" y="3321847"/>
              <a:ext cx="1440000" cy="540000"/>
            </a:xfrm>
            <a:prstGeom prst="rect">
              <a:avLst/>
            </a:prstGeom>
            <a:solidFill>
              <a:srgbClr val="FCC220"/>
            </a:solidFill>
            <a:ln>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pl-PL"/>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pl-PL"/>
            </a:p>
          </xdr:txBody>
        </xdr:sp>
      </xdr:grpSp>
    </xdr:grpSp>
    <xdr:clientData/>
  </xdr:twoCellAnchor>
  <xdr:twoCellAnchor editAs="absolute">
    <xdr:from>
      <xdr:col>4</xdr:col>
      <xdr:colOff>2453640</xdr:colOff>
      <xdr:row>0</xdr:row>
      <xdr:rowOff>134984</xdr:rowOff>
    </xdr:from>
    <xdr:to>
      <xdr:col>4</xdr:col>
      <xdr:colOff>5096691</xdr:colOff>
      <xdr:row>2</xdr:row>
      <xdr:rowOff>108482</xdr:rowOff>
    </xdr:to>
    <xdr:sp macro="" textlink="">
      <xdr:nvSpPr>
        <xdr:cNvPr id="8" name="TextBox 7">
          <a:extLst>
            <a:ext uri="{FF2B5EF4-FFF2-40B4-BE49-F238E27FC236}">
              <a16:creationId xmlns:a16="http://schemas.microsoft.com/office/drawing/2014/main" id="{00000000-0008-0000-0900-000008000000}"/>
            </a:ext>
          </a:extLst>
        </xdr:cNvPr>
        <xdr:cNvSpPr txBox="1"/>
      </xdr:nvSpPr>
      <xdr:spPr>
        <a:xfrm>
          <a:off x="3890010" y="134984"/>
          <a:ext cx="2643051" cy="3697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1400" b="1" baseline="0">
              <a:solidFill>
                <a:schemeClr val="accent1">
                  <a:lumMod val="75000"/>
                </a:schemeClr>
              </a:solidFill>
            </a:rPr>
            <a:t>Gross PAA Eligibility Check - v2.1</a:t>
          </a:r>
          <a:endParaRPr lang="en-GB" sz="1400" b="1">
            <a:solidFill>
              <a:schemeClr val="accent1">
                <a:lumMod val="75000"/>
              </a:schemeClr>
            </a:solidFill>
          </a:endParaRPr>
        </a:p>
      </xdr:txBody>
    </xdr:sp>
    <xdr:clientData/>
  </xdr:twoCellAnchor>
  <xdr:twoCellAnchor editAs="absolute">
    <xdr:from>
      <xdr:col>4</xdr:col>
      <xdr:colOff>5228405</xdr:colOff>
      <xdr:row>0</xdr:row>
      <xdr:rowOff>119744</xdr:rowOff>
    </xdr:from>
    <xdr:to>
      <xdr:col>4</xdr:col>
      <xdr:colOff>7148103</xdr:colOff>
      <xdr:row>2</xdr:row>
      <xdr:rowOff>93242</xdr:rowOff>
    </xdr:to>
    <xdr:sp macro="" textlink="">
      <xdr:nvSpPr>
        <xdr:cNvPr id="9" name="TextBox 8">
          <a:hlinkClick xmlns:r="http://schemas.openxmlformats.org/officeDocument/2006/relationships" r:id="rId1"/>
          <a:extLst>
            <a:ext uri="{FF2B5EF4-FFF2-40B4-BE49-F238E27FC236}">
              <a16:creationId xmlns:a16="http://schemas.microsoft.com/office/drawing/2014/main" id="{00000000-0008-0000-0900-000009000000}"/>
            </a:ext>
          </a:extLst>
        </xdr:cNvPr>
        <xdr:cNvSpPr txBox="1"/>
      </xdr:nvSpPr>
      <xdr:spPr>
        <a:xfrm>
          <a:off x="6589119" y="119744"/>
          <a:ext cx="1919698" cy="3653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GB" sz="1400" b="1">
              <a:solidFill>
                <a:schemeClr val="tx1">
                  <a:lumMod val="65000"/>
                  <a:lumOff val="35000"/>
                </a:schemeClr>
              </a:solidFill>
            </a:rPr>
            <a:t>[ www.3blocks.co ]</a:t>
          </a:r>
        </a:p>
      </xdr:txBody>
    </xdr:sp>
    <xdr:clientData/>
  </xdr:twoCellAnchor>
  <xdr:twoCellAnchor editAs="absolute">
    <xdr:from>
      <xdr:col>4</xdr:col>
      <xdr:colOff>379913</xdr:colOff>
      <xdr:row>0</xdr:row>
      <xdr:rowOff>134984</xdr:rowOff>
    </xdr:from>
    <xdr:to>
      <xdr:col>4</xdr:col>
      <xdr:colOff>2209801</xdr:colOff>
      <xdr:row>2</xdr:row>
      <xdr:rowOff>108482</xdr:rowOff>
    </xdr:to>
    <xdr:sp macro="" textlink="">
      <xdr:nvSpPr>
        <xdr:cNvPr id="10" name="TextBox 9">
          <a:extLst>
            <a:ext uri="{FF2B5EF4-FFF2-40B4-BE49-F238E27FC236}">
              <a16:creationId xmlns:a16="http://schemas.microsoft.com/office/drawing/2014/main" id="{00000000-0008-0000-0900-00000A000000}"/>
            </a:ext>
          </a:extLst>
        </xdr:cNvPr>
        <xdr:cNvSpPr txBox="1"/>
      </xdr:nvSpPr>
      <xdr:spPr>
        <a:xfrm>
          <a:off x="1816283" y="134984"/>
          <a:ext cx="1829888" cy="3697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400" b="1" baseline="0">
              <a:solidFill>
                <a:schemeClr val="tx1"/>
              </a:solidFill>
            </a:rPr>
            <a:t>IFRS 17 PAA</a:t>
          </a:r>
          <a:endParaRPr lang="en-GB" sz="1400" b="1">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gnieszka/3Blocks%20Business%20Dropbox/SecondFloor%20IFRS%2017/Model%20development/Version%20D2.2/CM_Disclosures_GM_I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dashboard_helper"/>
      <sheetName val="Settings"/>
      <sheetName val="checks"/>
      <sheetName val="Data Repository"/>
      <sheetName val="JournalEntries"/>
      <sheetName val="FS.A"/>
      <sheetName val="FS.B"/>
      <sheetName val="FS.C"/>
      <sheetName val="FS.D"/>
      <sheetName val="N.1"/>
      <sheetName val="N.2"/>
      <sheetName val="N.4"/>
      <sheetName val="N.6"/>
      <sheetName val="N.8"/>
      <sheetName val="N.10"/>
      <sheetName val="N.11"/>
      <sheetName val="N.14"/>
      <sheetName val="N.15"/>
      <sheetName val="Portfolio"/>
      <sheetName val="Exchange Rates"/>
    </sheetNames>
    <sheetDataSet>
      <sheetData sheetId="0" refreshError="1"/>
      <sheetData sheetId="1" refreshError="1"/>
      <sheetData sheetId="2">
        <row r="5">
          <cell r="C5" t="str">
            <v>Life Insurance</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sheetPr>
  <dimension ref="A3:A4"/>
  <sheetViews>
    <sheetView tabSelected="1" zoomScale="90" zoomScaleNormal="90" zoomScaleSheetLayoutView="70" workbookViewId="0">
      <pane ySplit="3" topLeftCell="A4" activePane="bottomLeft" state="frozen"/>
      <selection pane="bottomLeft" activeCell="A37" sqref="A37"/>
    </sheetView>
  </sheetViews>
  <sheetFormatPr defaultColWidth="9.15625" defaultRowHeight="12.9" x14ac:dyDescent="0.5"/>
  <cols>
    <col min="1" max="1" width="5.15625" style="14" customWidth="1"/>
    <col min="2" max="2" width="8.578125" style="14" customWidth="1"/>
    <col min="3" max="16384" width="9.15625" style="14"/>
  </cols>
  <sheetData>
    <row r="3" ht="14.5" customHeight="1" x14ac:dyDescent="0.5"/>
    <row r="4" ht="14.5" customHeight="1" x14ac:dyDescent="0.5"/>
  </sheetData>
  <sheetProtection algorithmName="SHA-512" hashValue="NnM3v1dDM5nsxogaVJZI7U4tFV6y+2+vOymrxbcqo/Uu1os/Na38UavhTUpniX+vDhj5igEEg0jQLQM/K3hEhw==" saltValue="iBMJded6JMXeYERpvsd6jA==" spinCount="100000"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6C00C-977B-4634-B102-099A28B2499C}">
  <sheetPr>
    <tabColor theme="4" tint="-0.249977111117893"/>
  </sheetPr>
  <dimension ref="A5:BK132"/>
  <sheetViews>
    <sheetView showGridLines="0" zoomScale="70" zoomScaleNormal="70" workbookViewId="0">
      <pane ySplit="3" topLeftCell="A4" activePane="bottomLeft" state="frozen"/>
      <selection pane="bottomLeft" activeCell="A32" sqref="A32"/>
    </sheetView>
  </sheetViews>
  <sheetFormatPr defaultRowHeight="14.4" outlineLevelRow="1" x14ac:dyDescent="0.55000000000000004"/>
  <cols>
    <col min="1" max="1" width="5.578125" customWidth="1"/>
    <col min="2" max="32" width="12.68359375" customWidth="1"/>
    <col min="33" max="33" width="12.68359375" style="11" customWidth="1"/>
    <col min="34" max="45" width="12.68359375" customWidth="1"/>
    <col min="46" max="67" width="9.15625" customWidth="1"/>
  </cols>
  <sheetData>
    <row r="5" spans="2:63" ht="18.3" x14ac:dyDescent="0.7">
      <c r="B5" s="2"/>
      <c r="C5" s="2"/>
      <c r="D5" s="2"/>
      <c r="E5" s="2"/>
      <c r="F5" s="2"/>
      <c r="G5" s="2"/>
      <c r="H5" s="2"/>
      <c r="I5" s="2"/>
      <c r="J5" s="2"/>
      <c r="K5" s="96"/>
      <c r="L5" s="2"/>
      <c r="M5" s="2"/>
      <c r="N5" s="2"/>
      <c r="O5" s="2"/>
      <c r="P5" s="2"/>
      <c r="Q5" s="2"/>
      <c r="R5" s="2"/>
      <c r="S5" s="2"/>
      <c r="T5" s="2"/>
      <c r="U5" s="2"/>
      <c r="V5" s="2"/>
      <c r="W5" s="2"/>
      <c r="X5" s="2"/>
      <c r="Y5" s="2"/>
      <c r="Z5" s="2"/>
      <c r="AA5" s="128"/>
      <c r="AB5" s="128"/>
      <c r="AC5" s="128"/>
      <c r="AD5" s="128"/>
      <c r="AE5" s="128"/>
      <c r="AF5" s="128"/>
      <c r="AG5" s="128"/>
      <c r="AH5" s="128"/>
      <c r="AI5" s="128"/>
      <c r="AJ5" s="128"/>
      <c r="AK5" s="128"/>
      <c r="AL5" s="128"/>
      <c r="AM5" s="128"/>
      <c r="AN5" s="128"/>
      <c r="AO5" s="2"/>
      <c r="AP5" s="2"/>
      <c r="AQ5" s="2"/>
      <c r="AR5" s="2"/>
      <c r="AS5" s="2"/>
      <c r="AT5" s="2"/>
      <c r="AU5" s="2"/>
      <c r="AV5" s="2"/>
      <c r="AW5" s="2"/>
      <c r="AX5" s="2"/>
      <c r="AY5" s="2"/>
      <c r="AZ5" s="2"/>
      <c r="BA5" s="2"/>
      <c r="BB5" s="2"/>
      <c r="BC5" s="2"/>
      <c r="BD5" s="2"/>
      <c r="BE5" s="2"/>
      <c r="BF5" s="2"/>
      <c r="BG5" s="2"/>
      <c r="BH5" s="2"/>
      <c r="BI5" s="2"/>
      <c r="BJ5" s="2"/>
      <c r="BK5" s="2"/>
    </row>
    <row r="6" spans="2:63" x14ac:dyDescent="0.55000000000000004">
      <c r="B6" s="2"/>
      <c r="C6" s="2"/>
      <c r="D6" s="2"/>
      <c r="E6" s="2"/>
      <c r="F6" s="2"/>
      <c r="G6" s="2"/>
      <c r="H6" s="2"/>
      <c r="I6" s="2"/>
      <c r="J6" s="2"/>
      <c r="K6" s="2"/>
      <c r="L6" s="2"/>
      <c r="M6" s="2"/>
      <c r="N6" s="2"/>
      <c r="O6" s="2"/>
      <c r="P6" s="2"/>
      <c r="Q6" s="2"/>
      <c r="R6" s="2"/>
      <c r="S6" s="2"/>
      <c r="T6" s="2"/>
      <c r="U6" s="2"/>
      <c r="V6" s="2"/>
      <c r="W6" s="2"/>
      <c r="X6" s="2"/>
      <c r="Y6" s="2"/>
      <c r="Z6" s="2"/>
      <c r="AA6" s="128"/>
      <c r="AB6" s="128"/>
      <c r="AC6" s="128"/>
      <c r="AD6" s="128"/>
      <c r="AE6" s="128"/>
      <c r="AF6" s="128"/>
      <c r="AG6" s="128"/>
      <c r="AH6" s="128"/>
      <c r="AI6" s="128"/>
      <c r="AJ6" s="128"/>
      <c r="AK6" s="128"/>
      <c r="AL6" s="128"/>
      <c r="AM6" s="128"/>
      <c r="AN6" s="128"/>
      <c r="AO6" s="2"/>
      <c r="AP6" s="2"/>
      <c r="AQ6" s="2"/>
      <c r="AR6" s="2"/>
      <c r="AS6" s="2"/>
      <c r="AT6" s="2"/>
      <c r="AU6" s="2"/>
      <c r="AV6" s="2"/>
      <c r="AW6" s="2"/>
      <c r="AX6" s="2"/>
      <c r="AY6" s="2"/>
      <c r="AZ6" s="2"/>
      <c r="BA6" s="2"/>
      <c r="BB6" s="2"/>
      <c r="BC6" s="2"/>
      <c r="BD6" s="2"/>
      <c r="BE6" s="2"/>
      <c r="BF6" s="2"/>
      <c r="BG6" s="2"/>
      <c r="BH6" s="2"/>
      <c r="BI6" s="2"/>
      <c r="BJ6" s="2"/>
      <c r="BK6" s="2"/>
    </row>
    <row r="7" spans="2:63" x14ac:dyDescent="0.55000000000000004">
      <c r="B7" s="141" t="s">
        <v>160</v>
      </c>
      <c r="C7" s="2"/>
      <c r="D7" s="2"/>
      <c r="E7" s="2"/>
      <c r="F7" s="107">
        <v>2</v>
      </c>
      <c r="G7" s="107"/>
      <c r="H7" s="2"/>
      <c r="I7" s="2"/>
      <c r="J7" s="2"/>
      <c r="K7" s="2"/>
      <c r="L7" s="2"/>
      <c r="M7" s="2"/>
      <c r="N7" s="2"/>
      <c r="O7" s="2"/>
      <c r="P7" s="2"/>
      <c r="Q7" s="2"/>
      <c r="R7" s="2"/>
      <c r="S7" s="2"/>
      <c r="T7" s="2"/>
      <c r="U7" s="2"/>
      <c r="V7" s="2"/>
      <c r="W7" s="2"/>
      <c r="X7" s="2"/>
      <c r="Y7" s="2"/>
      <c r="Z7" s="2"/>
      <c r="AA7" s="128"/>
      <c r="AB7" s="128"/>
      <c r="AC7" s="128"/>
      <c r="AD7" s="128"/>
      <c r="AE7" s="128"/>
      <c r="AF7" s="128"/>
      <c r="AG7" s="128"/>
      <c r="AH7" s="128"/>
      <c r="AI7" s="128"/>
      <c r="AJ7" s="128"/>
      <c r="AK7" s="128"/>
      <c r="AL7" s="128"/>
      <c r="AM7" s="128"/>
      <c r="AN7" s="128"/>
      <c r="AO7" s="2"/>
      <c r="AP7" s="2"/>
      <c r="AQ7" s="2"/>
      <c r="AR7" s="2"/>
      <c r="AS7" s="2"/>
      <c r="AT7" s="2"/>
      <c r="AU7" s="2"/>
      <c r="AV7" s="2"/>
      <c r="AW7" s="2"/>
      <c r="AX7" s="2"/>
      <c r="AY7" s="2"/>
      <c r="AZ7" s="2"/>
      <c r="BA7" s="2"/>
      <c r="BB7" s="2"/>
      <c r="BC7" s="2"/>
      <c r="BD7" s="2"/>
      <c r="BE7" s="2"/>
      <c r="BF7" s="2"/>
      <c r="BG7" s="2"/>
      <c r="BH7" s="2"/>
      <c r="BI7" s="2"/>
      <c r="BJ7" s="2"/>
      <c r="BK7" s="2"/>
    </row>
    <row r="8" spans="2:63" x14ac:dyDescent="0.55000000000000004">
      <c r="B8" s="141" t="s">
        <v>168</v>
      </c>
      <c r="C8" s="2"/>
      <c r="D8" s="2"/>
      <c r="E8" s="2"/>
      <c r="F8" s="132">
        <v>4</v>
      </c>
      <c r="G8" s="107"/>
      <c r="H8" s="2"/>
      <c r="I8" s="2"/>
      <c r="J8" s="2"/>
      <c r="K8" s="2"/>
      <c r="L8" s="2"/>
      <c r="M8" s="2"/>
      <c r="N8" s="2"/>
      <c r="O8" s="2"/>
      <c r="P8" s="2"/>
      <c r="Q8" s="2"/>
      <c r="R8" s="2"/>
      <c r="S8" s="2"/>
      <c r="T8" s="2"/>
      <c r="U8" s="2"/>
      <c r="V8" s="2"/>
      <c r="W8" s="2"/>
      <c r="X8" s="2"/>
      <c r="Y8" s="2"/>
      <c r="Z8" s="2"/>
      <c r="AA8" s="128"/>
      <c r="AB8" s="128"/>
      <c r="AC8" s="128"/>
      <c r="AD8" s="128"/>
      <c r="AE8" s="128"/>
      <c r="AF8" s="128"/>
      <c r="AG8" s="128"/>
      <c r="AH8" s="128"/>
      <c r="AI8" s="128"/>
      <c r="AJ8" s="128"/>
      <c r="AK8" s="128"/>
      <c r="AL8" s="128"/>
      <c r="AM8" s="128"/>
      <c r="AN8" s="128"/>
      <c r="AO8" s="2"/>
      <c r="AP8" s="2"/>
      <c r="AQ8" s="2"/>
      <c r="AR8" s="2"/>
      <c r="AS8" s="2"/>
      <c r="AT8" s="2"/>
      <c r="AU8" s="2"/>
      <c r="AV8" s="2"/>
      <c r="AW8" s="2"/>
      <c r="AX8" s="2"/>
      <c r="AY8" s="2"/>
      <c r="AZ8" s="2"/>
      <c r="BA8" s="2"/>
      <c r="BB8" s="2"/>
      <c r="BC8" s="2"/>
      <c r="BD8" s="2"/>
      <c r="BE8" s="2"/>
      <c r="BF8" s="2"/>
      <c r="BG8" s="2"/>
      <c r="BH8" s="2"/>
      <c r="BI8" s="2"/>
      <c r="BJ8" s="2"/>
      <c r="BK8" s="2"/>
    </row>
    <row r="9" spans="2:63" x14ac:dyDescent="0.55000000000000004">
      <c r="B9" s="142"/>
      <c r="C9" s="2"/>
      <c r="D9" s="2"/>
      <c r="E9" s="2"/>
      <c r="F9" s="2"/>
      <c r="G9" s="2"/>
      <c r="H9" s="2"/>
      <c r="I9" s="2"/>
      <c r="J9" s="2"/>
      <c r="K9" s="2"/>
      <c r="L9" s="2"/>
      <c r="M9" s="2"/>
      <c r="N9" s="2"/>
      <c r="O9" s="2"/>
      <c r="P9" s="2"/>
      <c r="Q9" s="2"/>
      <c r="R9" s="2"/>
      <c r="S9" s="2"/>
      <c r="T9" s="2"/>
      <c r="U9" s="2"/>
      <c r="V9" s="2"/>
      <c r="W9" s="2"/>
      <c r="X9" s="2"/>
      <c r="Y9" s="2"/>
      <c r="Z9" s="2"/>
      <c r="AA9" s="128"/>
      <c r="AB9" s="128"/>
      <c r="AC9" s="128"/>
      <c r="AD9" s="128"/>
      <c r="AE9" s="128"/>
      <c r="AF9" s="128"/>
      <c r="AG9" s="128"/>
      <c r="AH9" s="128"/>
      <c r="AI9" s="128"/>
      <c r="AJ9" s="128"/>
      <c r="AK9" s="128"/>
      <c r="AL9" s="128"/>
      <c r="AM9" s="128"/>
      <c r="AN9" s="128"/>
      <c r="AO9" s="2"/>
      <c r="AP9" s="2"/>
      <c r="AQ9" s="2"/>
      <c r="AR9" s="2"/>
      <c r="AS9" s="2"/>
      <c r="AT9" s="2"/>
      <c r="AU9" s="2"/>
      <c r="AV9" s="2"/>
      <c r="AW9" s="2"/>
      <c r="AX9" s="2"/>
      <c r="AY9" s="2"/>
      <c r="AZ9" s="2"/>
      <c r="BA9" s="2"/>
      <c r="BB9" s="2"/>
      <c r="BC9" s="2"/>
      <c r="BD9" s="2"/>
      <c r="BE9" s="2"/>
      <c r="BF9" s="2"/>
      <c r="BG9" s="2"/>
      <c r="BH9" s="2"/>
      <c r="BI9" s="2"/>
      <c r="BJ9" s="2"/>
      <c r="BK9" s="2"/>
    </row>
    <row r="10" spans="2:63" ht="14.5" customHeight="1" x14ac:dyDescent="0.55000000000000004">
      <c r="B10" s="142"/>
      <c r="C10" s="2"/>
      <c r="D10" s="2"/>
      <c r="E10" s="2"/>
      <c r="F10" s="140" t="s">
        <v>161</v>
      </c>
      <c r="G10" s="140" t="s">
        <v>162</v>
      </c>
      <c r="I10" s="2"/>
      <c r="J10" s="2"/>
      <c r="K10" s="2"/>
      <c r="L10" s="2"/>
      <c r="M10" s="2"/>
      <c r="N10" s="2"/>
      <c r="O10" s="2"/>
      <c r="P10" s="2"/>
      <c r="Q10" s="2"/>
      <c r="R10" s="2"/>
      <c r="S10" s="2"/>
      <c r="T10" s="2"/>
      <c r="U10" s="2"/>
      <c r="V10" s="2"/>
      <c r="W10" s="2"/>
      <c r="X10" s="2"/>
      <c r="Y10" s="2"/>
      <c r="Z10" s="2"/>
      <c r="AA10" s="128"/>
      <c r="AB10" s="128"/>
      <c r="AC10" s="128"/>
      <c r="AD10" s="128"/>
      <c r="AE10" s="128"/>
      <c r="AF10" s="128"/>
      <c r="AG10" s="128"/>
      <c r="AH10" s="128"/>
      <c r="AI10" s="128"/>
      <c r="AJ10" s="128"/>
      <c r="AK10" s="128"/>
      <c r="AL10" s="128"/>
      <c r="AM10" s="128"/>
      <c r="AN10" s="128"/>
      <c r="AO10" s="2"/>
      <c r="AP10" s="2"/>
      <c r="AQ10" s="2"/>
      <c r="AR10" s="2"/>
      <c r="AS10" s="2"/>
      <c r="AT10" s="2"/>
      <c r="AU10" s="2"/>
      <c r="AV10" s="2"/>
      <c r="AW10" s="2"/>
      <c r="AX10" s="2"/>
      <c r="AY10" s="2"/>
      <c r="AZ10" s="2"/>
      <c r="BA10" s="2"/>
      <c r="BB10" s="2"/>
      <c r="BC10" s="2"/>
      <c r="BD10" s="2"/>
      <c r="BE10" s="2"/>
      <c r="BF10" s="2"/>
      <c r="BG10" s="2"/>
      <c r="BH10" s="2"/>
      <c r="BI10" s="2"/>
      <c r="BJ10" s="2"/>
      <c r="BK10" s="2"/>
    </row>
    <row r="11" spans="2:63" x14ac:dyDescent="0.55000000000000004">
      <c r="B11" s="141" t="s">
        <v>134</v>
      </c>
      <c r="C11" s="2"/>
      <c r="D11" s="2"/>
      <c r="E11" s="2"/>
      <c r="F11" s="133">
        <v>0.6</v>
      </c>
      <c r="G11" s="133">
        <v>1.2</v>
      </c>
      <c r="N11" s="2"/>
      <c r="O11" s="2"/>
      <c r="P11" s="2"/>
      <c r="Q11" s="2"/>
      <c r="S11" s="2"/>
      <c r="T11" s="2"/>
      <c r="U11" s="2"/>
      <c r="V11" s="2"/>
      <c r="W11" s="2"/>
      <c r="X11" s="2"/>
      <c r="Y11" s="2"/>
      <c r="Z11" s="2"/>
      <c r="AA11" s="128"/>
      <c r="AB11" s="128"/>
      <c r="AC11" s="128"/>
      <c r="AD11" s="128"/>
      <c r="AE11" s="128"/>
      <c r="AF11" s="128"/>
      <c r="AG11" s="128"/>
      <c r="AH11" s="128"/>
      <c r="AI11" s="128"/>
      <c r="AJ11" s="128"/>
      <c r="AK11" s="128"/>
      <c r="AL11" s="128"/>
      <c r="AM11" s="128"/>
      <c r="AN11" s="128"/>
      <c r="AO11" s="2"/>
      <c r="AP11" s="2"/>
      <c r="AQ11" s="2"/>
      <c r="AR11" s="2"/>
      <c r="AS11" s="2"/>
      <c r="AT11" s="2"/>
      <c r="AU11" s="2"/>
      <c r="AV11" s="2"/>
      <c r="AW11" s="2"/>
      <c r="AX11" s="2"/>
      <c r="AY11" s="2"/>
      <c r="AZ11" s="2"/>
      <c r="BA11" s="2"/>
      <c r="BB11" s="2"/>
      <c r="BC11" s="2"/>
      <c r="BD11" s="2"/>
      <c r="BE11" s="2"/>
      <c r="BF11" s="2"/>
      <c r="BG11" s="2"/>
      <c r="BH11" s="2"/>
      <c r="BI11" s="2"/>
      <c r="BJ11" s="2"/>
      <c r="BK11" s="2"/>
    </row>
    <row r="12" spans="2:63" x14ac:dyDescent="0.55000000000000004">
      <c r="B12" s="141" t="s">
        <v>165</v>
      </c>
      <c r="C12" s="2"/>
      <c r="D12" s="2"/>
      <c r="E12" s="2"/>
      <c r="F12" s="133">
        <v>0.15</v>
      </c>
      <c r="G12" s="133">
        <v>0.1</v>
      </c>
      <c r="N12" s="2"/>
      <c r="O12" s="2"/>
      <c r="P12" s="2"/>
      <c r="Q12" s="2"/>
      <c r="S12" s="2"/>
      <c r="T12" s="2"/>
      <c r="U12" s="2"/>
      <c r="V12" s="2"/>
      <c r="W12" s="2"/>
      <c r="X12" s="2"/>
      <c r="Y12" s="2"/>
      <c r="Z12" s="2"/>
      <c r="AA12" s="128"/>
      <c r="AB12" s="128"/>
      <c r="AC12" s="128"/>
      <c r="AD12" s="128"/>
      <c r="AE12" s="128"/>
      <c r="AF12" s="128"/>
      <c r="AG12" s="128"/>
      <c r="AH12" s="128"/>
      <c r="AI12" s="128"/>
      <c r="AJ12" s="128"/>
      <c r="AK12" s="128"/>
      <c r="AL12" s="128"/>
      <c r="AM12" s="128"/>
      <c r="AN12" s="128"/>
      <c r="AO12" s="2"/>
      <c r="AP12" s="2"/>
      <c r="AQ12" s="2"/>
      <c r="AR12" s="2"/>
      <c r="AS12" s="2"/>
      <c r="AT12" s="2"/>
      <c r="AU12" s="2"/>
      <c r="AV12" s="2"/>
      <c r="AW12" s="2"/>
      <c r="AX12" s="2"/>
      <c r="AY12" s="2"/>
      <c r="AZ12" s="2"/>
      <c r="BA12" s="2"/>
      <c r="BB12" s="2"/>
      <c r="BC12" s="2"/>
      <c r="BD12" s="2"/>
      <c r="BE12" s="2"/>
      <c r="BF12" s="2"/>
      <c r="BG12" s="2"/>
      <c r="BH12" s="2"/>
      <c r="BI12" s="2"/>
      <c r="BJ12" s="2"/>
      <c r="BK12" s="2"/>
    </row>
    <row r="13" spans="2:63" x14ac:dyDescent="0.55000000000000004">
      <c r="B13" s="141" t="s">
        <v>170</v>
      </c>
      <c r="C13" s="2"/>
      <c r="D13" s="2"/>
      <c r="E13" s="2"/>
      <c r="F13" s="133">
        <v>0.1</v>
      </c>
      <c r="G13" s="111">
        <f>F13</f>
        <v>0.1</v>
      </c>
      <c r="N13" s="2"/>
      <c r="O13" s="2"/>
      <c r="P13" s="2"/>
      <c r="Q13" s="2"/>
      <c r="S13" s="2"/>
      <c r="T13" s="2"/>
      <c r="U13" s="2"/>
      <c r="V13" s="2"/>
      <c r="W13" s="2"/>
      <c r="X13" s="2"/>
      <c r="Y13" s="2"/>
      <c r="Z13" s="2"/>
      <c r="AA13" s="128"/>
      <c r="AB13" s="128"/>
      <c r="AC13" s="128"/>
      <c r="AD13" s="128"/>
      <c r="AE13" s="128"/>
      <c r="AF13" s="128"/>
      <c r="AG13" s="128"/>
      <c r="AH13" s="128"/>
      <c r="AI13" s="128"/>
      <c r="AJ13" s="128"/>
      <c r="AK13" s="128"/>
      <c r="AL13" s="128"/>
      <c r="AM13" s="128"/>
      <c r="AN13" s="128"/>
      <c r="AO13" s="2"/>
      <c r="AP13" s="2"/>
      <c r="AQ13" s="2"/>
      <c r="AR13" s="2"/>
      <c r="AS13" s="2"/>
      <c r="AT13" s="2"/>
      <c r="AU13" s="2"/>
      <c r="AV13" s="2"/>
      <c r="AW13" s="2"/>
      <c r="AX13" s="2"/>
      <c r="AY13" s="2"/>
      <c r="AZ13" s="2"/>
      <c r="BA13" s="2"/>
      <c r="BB13" s="2"/>
      <c r="BC13" s="2"/>
      <c r="BD13" s="2"/>
      <c r="BE13" s="2"/>
      <c r="BF13" s="2"/>
      <c r="BG13" s="2"/>
      <c r="BH13" s="2"/>
      <c r="BI13" s="2"/>
      <c r="BJ13" s="2"/>
      <c r="BK13" s="2"/>
    </row>
    <row r="14" spans="2:63" x14ac:dyDescent="0.55000000000000004">
      <c r="B14" s="141" t="s">
        <v>395</v>
      </c>
      <c r="C14" s="2"/>
      <c r="D14" s="2"/>
      <c r="E14" s="2"/>
      <c r="F14" s="133">
        <v>0.05</v>
      </c>
      <c r="G14" s="133">
        <v>0.03</v>
      </c>
      <c r="N14" s="2"/>
      <c r="O14" s="2"/>
      <c r="P14" s="2"/>
      <c r="Q14" s="2"/>
      <c r="S14" s="2"/>
      <c r="T14" s="2"/>
      <c r="U14" s="2"/>
      <c r="V14" s="2"/>
      <c r="W14" s="2"/>
      <c r="X14" s="2"/>
      <c r="Y14" s="2"/>
      <c r="Z14" s="2"/>
      <c r="AA14" s="128"/>
      <c r="AB14" s="128"/>
      <c r="AC14" s="128"/>
      <c r="AD14" s="128"/>
      <c r="AE14" s="128"/>
      <c r="AF14" s="128"/>
      <c r="AG14" s="128"/>
      <c r="AH14" s="128"/>
      <c r="AI14" s="128"/>
      <c r="AJ14" s="128"/>
      <c r="AK14" s="128"/>
      <c r="AL14" s="128"/>
      <c r="AM14" s="128"/>
      <c r="AN14" s="128"/>
      <c r="AO14" s="2"/>
      <c r="AP14" s="2"/>
      <c r="AQ14" s="2"/>
      <c r="AR14" s="2"/>
      <c r="AS14" s="2"/>
      <c r="AT14" s="2"/>
      <c r="AU14" s="2"/>
      <c r="AV14" s="2"/>
      <c r="AW14" s="2"/>
      <c r="AX14" s="2"/>
      <c r="AY14" s="2"/>
      <c r="AZ14" s="2"/>
      <c r="BA14" s="2"/>
      <c r="BB14" s="2"/>
      <c r="BC14" s="2"/>
      <c r="BD14" s="2"/>
      <c r="BE14" s="2"/>
      <c r="BF14" s="2"/>
      <c r="BG14" s="2"/>
      <c r="BH14" s="2"/>
      <c r="BI14" s="2"/>
      <c r="BJ14" s="2"/>
      <c r="BK14" s="2"/>
    </row>
    <row r="15" spans="2:63" x14ac:dyDescent="0.55000000000000004">
      <c r="B15" s="141" t="s">
        <v>166</v>
      </c>
      <c r="C15" s="2"/>
      <c r="D15" s="2"/>
      <c r="E15" s="2"/>
      <c r="F15" s="130">
        <f>(F11+F12)*(1+F14)+F13</f>
        <v>0.88750000000000007</v>
      </c>
      <c r="G15" s="130">
        <f>(G11+G12)*(1+G14)+G13</f>
        <v>1.4390000000000003</v>
      </c>
      <c r="N15" s="2"/>
      <c r="O15" s="2"/>
      <c r="P15" s="2"/>
      <c r="Q15" s="2"/>
      <c r="S15" s="2"/>
      <c r="T15" s="2"/>
      <c r="U15" s="2"/>
      <c r="V15" s="2"/>
      <c r="W15" s="2"/>
      <c r="X15" s="2"/>
      <c r="Y15" s="2"/>
      <c r="Z15" s="2"/>
      <c r="AA15" s="128"/>
      <c r="AB15" s="128"/>
      <c r="AC15" s="128"/>
      <c r="AD15" s="128"/>
      <c r="AE15" s="128"/>
      <c r="AF15" s="128"/>
      <c r="AG15" s="128"/>
      <c r="AH15" s="128"/>
      <c r="AI15" s="128"/>
      <c r="AJ15" s="128"/>
      <c r="AK15" s="128"/>
      <c r="AL15" s="128"/>
      <c r="AM15" s="128"/>
      <c r="AN15" s="128"/>
      <c r="AO15" s="2"/>
      <c r="AP15" s="2"/>
      <c r="AQ15" s="2"/>
      <c r="AR15" s="2"/>
      <c r="AS15" s="2"/>
      <c r="AT15" s="2"/>
      <c r="AU15" s="2"/>
      <c r="AV15" s="2"/>
      <c r="AW15" s="2"/>
      <c r="AY15" s="2"/>
      <c r="AZ15" s="2"/>
      <c r="BA15" s="2"/>
      <c r="BB15" s="2"/>
      <c r="BC15" s="2"/>
      <c r="BD15" s="2"/>
      <c r="BE15" s="2"/>
      <c r="BF15" s="2"/>
      <c r="BG15" s="2"/>
      <c r="BH15" s="2"/>
      <c r="BI15" s="2"/>
      <c r="BJ15" s="2"/>
      <c r="BK15" s="2"/>
    </row>
    <row r="16" spans="2:63" x14ac:dyDescent="0.55000000000000004">
      <c r="B16" s="141"/>
      <c r="C16" s="2"/>
      <c r="D16" s="2"/>
      <c r="E16" s="2"/>
      <c r="F16" s="97"/>
      <c r="G16" s="97"/>
      <c r="N16" s="2"/>
      <c r="O16" s="2"/>
      <c r="P16" s="2"/>
      <c r="Q16" s="2"/>
      <c r="S16" s="2"/>
      <c r="T16" s="2"/>
      <c r="U16" s="2"/>
      <c r="V16" s="2"/>
      <c r="W16" s="2"/>
      <c r="X16" s="2"/>
      <c r="Y16" s="2"/>
      <c r="Z16" s="2"/>
      <c r="AA16" s="128"/>
      <c r="AB16" s="128"/>
      <c r="AC16" s="128"/>
      <c r="AD16" s="128"/>
      <c r="AE16" s="128"/>
      <c r="AF16" s="128"/>
      <c r="AG16" s="128"/>
      <c r="AH16" s="128"/>
      <c r="AI16" s="128"/>
      <c r="AJ16" s="128"/>
      <c r="AK16" s="128"/>
      <c r="AL16" s="128"/>
      <c r="AM16" s="128"/>
      <c r="AN16" s="128"/>
      <c r="AO16" s="2"/>
      <c r="AP16" s="2"/>
      <c r="AQ16" s="2"/>
      <c r="AR16" s="2"/>
      <c r="AS16" s="2"/>
      <c r="AT16" s="2"/>
      <c r="AU16" s="2"/>
      <c r="AV16" s="2"/>
      <c r="AW16" s="2"/>
      <c r="AY16" s="2"/>
      <c r="AZ16" s="2"/>
      <c r="BA16" s="2"/>
      <c r="BB16" s="2"/>
      <c r="BC16" s="2"/>
      <c r="BD16" s="2"/>
      <c r="BE16" s="2"/>
      <c r="BF16" s="2"/>
      <c r="BG16" s="2"/>
      <c r="BH16" s="2"/>
      <c r="BI16" s="2"/>
      <c r="BJ16" s="2"/>
      <c r="BK16" s="2"/>
    </row>
    <row r="17" spans="2:63" x14ac:dyDescent="0.55000000000000004">
      <c r="B17" s="141" t="s">
        <v>156</v>
      </c>
      <c r="C17" s="2"/>
      <c r="D17" s="2"/>
      <c r="E17" s="2"/>
      <c r="F17" s="133">
        <v>0.02</v>
      </c>
      <c r="G17" s="133">
        <v>0.01</v>
      </c>
      <c r="N17" s="2"/>
      <c r="O17" s="2"/>
      <c r="P17" s="2"/>
      <c r="Q17" s="2"/>
      <c r="S17" s="2"/>
      <c r="T17" s="2"/>
      <c r="U17" s="2"/>
      <c r="V17" s="2"/>
      <c r="W17" s="2"/>
      <c r="X17" s="2"/>
      <c r="Y17" s="2"/>
      <c r="Z17" s="2"/>
      <c r="AA17" s="128"/>
      <c r="AB17" s="128"/>
      <c r="AC17" s="128"/>
      <c r="AD17" s="128"/>
      <c r="AE17" s="128"/>
      <c r="AF17" s="128"/>
      <c r="AG17" s="128"/>
      <c r="AH17" s="128"/>
      <c r="AI17" s="128"/>
      <c r="AJ17" s="128"/>
      <c r="AK17" s="128"/>
      <c r="AL17" s="128"/>
      <c r="AM17" s="128"/>
      <c r="AN17" s="128"/>
      <c r="AO17" s="2"/>
      <c r="AP17" s="2"/>
      <c r="AQ17" s="2"/>
      <c r="AR17" s="2"/>
      <c r="AS17" s="2"/>
      <c r="AT17" s="2"/>
      <c r="AU17" s="2"/>
      <c r="AV17" s="2"/>
      <c r="AW17" s="2"/>
      <c r="AY17" s="2"/>
      <c r="AZ17" s="2"/>
      <c r="BA17" s="2"/>
      <c r="BB17" s="2"/>
      <c r="BC17" s="2"/>
      <c r="BD17" s="2"/>
      <c r="BE17" s="2"/>
      <c r="BF17" s="2"/>
      <c r="BG17" s="2"/>
      <c r="BH17" s="2"/>
      <c r="BI17" s="2"/>
      <c r="BJ17" s="2"/>
      <c r="BK17" s="2"/>
    </row>
    <row r="18" spans="2:63" x14ac:dyDescent="0.55000000000000004">
      <c r="B18" s="141" t="s">
        <v>137</v>
      </c>
      <c r="F18" s="133">
        <v>0.01</v>
      </c>
      <c r="G18" s="133">
        <v>5.0000000000000001E-3</v>
      </c>
      <c r="N18" s="2"/>
      <c r="O18" s="2"/>
      <c r="P18" s="2"/>
      <c r="Q18" s="2"/>
      <c r="S18" s="2"/>
      <c r="T18" s="2"/>
      <c r="U18" s="2"/>
      <c r="V18" s="2"/>
      <c r="W18" s="2"/>
      <c r="X18" s="2"/>
      <c r="Y18" s="2"/>
      <c r="Z18" s="2"/>
      <c r="AA18" s="128"/>
      <c r="AB18" s="128"/>
      <c r="AC18" s="128"/>
      <c r="AD18" s="128"/>
      <c r="AE18" s="128"/>
      <c r="AF18" s="128"/>
      <c r="AG18" s="128"/>
      <c r="AH18" s="128"/>
      <c r="AI18" s="128"/>
      <c r="AJ18" s="128"/>
      <c r="AK18" s="128"/>
      <c r="AL18" s="128"/>
      <c r="AM18" s="128"/>
      <c r="AN18" s="128"/>
      <c r="AO18" s="2"/>
      <c r="AP18" s="2"/>
      <c r="AQ18" s="2"/>
      <c r="AR18" s="2"/>
      <c r="AS18" s="2"/>
      <c r="AT18" s="2"/>
      <c r="AU18" s="2"/>
      <c r="AV18" s="2"/>
      <c r="AW18" s="2"/>
      <c r="AY18" s="2"/>
      <c r="AZ18" s="2"/>
      <c r="BA18" s="2"/>
      <c r="BB18" s="2"/>
      <c r="BC18" s="2"/>
      <c r="BD18" s="2"/>
      <c r="BE18" s="2"/>
      <c r="BF18" s="2"/>
      <c r="BG18" s="2"/>
      <c r="BH18" s="2"/>
      <c r="BI18" s="2"/>
      <c r="BJ18" s="2"/>
      <c r="BK18" s="2"/>
    </row>
    <row r="19" spans="2:63" x14ac:dyDescent="0.55000000000000004">
      <c r="B19" s="141" t="s">
        <v>118</v>
      </c>
      <c r="C19" s="2"/>
      <c r="D19" s="2"/>
      <c r="E19" s="2"/>
      <c r="F19" s="133">
        <v>0.2</v>
      </c>
      <c r="G19" s="133">
        <v>0.1</v>
      </c>
      <c r="N19" s="2"/>
      <c r="O19" s="2"/>
      <c r="P19" s="2"/>
      <c r="Q19" s="2"/>
      <c r="S19" s="2"/>
      <c r="T19" s="2"/>
      <c r="U19" s="2"/>
      <c r="V19" s="2"/>
      <c r="W19" s="2"/>
      <c r="X19" s="2"/>
      <c r="Y19" s="2"/>
      <c r="Z19" s="2"/>
      <c r="AA19" s="128"/>
      <c r="AB19" s="128"/>
      <c r="AC19" s="128"/>
      <c r="AD19" s="128"/>
      <c r="AE19" s="128"/>
      <c r="AF19" s="128"/>
      <c r="AG19" s="128"/>
      <c r="AH19" s="128"/>
      <c r="AI19" s="128"/>
      <c r="AJ19" s="128"/>
      <c r="AK19" s="128"/>
      <c r="AL19" s="128"/>
      <c r="AM19" s="128"/>
      <c r="AN19" s="128"/>
      <c r="AO19" s="2"/>
      <c r="AP19" s="2"/>
      <c r="AQ19" s="2"/>
      <c r="AR19" s="2"/>
      <c r="AS19" s="2"/>
      <c r="AT19" s="2"/>
      <c r="AU19" s="2"/>
      <c r="AV19" s="2"/>
      <c r="AW19" s="2"/>
      <c r="AY19" s="2"/>
      <c r="AZ19" s="2"/>
      <c r="BA19" s="2"/>
      <c r="BB19" s="2"/>
      <c r="BC19" s="2"/>
      <c r="BD19" s="2"/>
      <c r="BE19" s="2"/>
      <c r="BF19" s="2"/>
      <c r="BG19" s="2"/>
      <c r="BH19" s="2"/>
      <c r="BI19" s="2"/>
      <c r="BJ19" s="2"/>
      <c r="BK19" s="2"/>
    </row>
    <row r="20" spans="2:63" x14ac:dyDescent="0.55000000000000004">
      <c r="B20" s="141"/>
      <c r="C20" s="2"/>
      <c r="D20" s="2"/>
      <c r="E20" s="2"/>
      <c r="F20" s="97"/>
      <c r="G20" s="97"/>
      <c r="H20" s="97"/>
      <c r="N20" s="2"/>
      <c r="O20" s="2"/>
      <c r="P20" s="2"/>
      <c r="Q20" s="2"/>
      <c r="S20" s="2"/>
      <c r="T20" s="2"/>
      <c r="U20" s="2"/>
      <c r="V20" s="2"/>
      <c r="W20" s="2"/>
      <c r="X20" s="2"/>
      <c r="Y20" s="2"/>
      <c r="Z20" s="2"/>
      <c r="AA20" s="128"/>
      <c r="AB20" s="128"/>
      <c r="AC20" s="128"/>
      <c r="AD20" s="128"/>
      <c r="AE20" s="128"/>
      <c r="AF20" s="128"/>
      <c r="AG20" s="128"/>
      <c r="AH20" s="128"/>
      <c r="AI20" s="128"/>
      <c r="AJ20" s="128"/>
      <c r="AK20" s="128"/>
      <c r="AL20" s="128"/>
      <c r="AM20" s="128"/>
      <c r="AN20" s="128"/>
      <c r="AO20" s="2"/>
      <c r="AP20" s="2"/>
      <c r="AQ20" s="2"/>
      <c r="AR20" s="2"/>
      <c r="AS20" s="2"/>
      <c r="AT20" s="2"/>
      <c r="AU20" s="2"/>
      <c r="AV20" s="2"/>
      <c r="AW20" s="2"/>
      <c r="AY20" s="2"/>
      <c r="AZ20" s="2"/>
      <c r="BA20" s="2"/>
      <c r="BB20" s="2"/>
      <c r="BC20" s="2"/>
      <c r="BD20" s="2"/>
      <c r="BE20" s="2"/>
      <c r="BF20" s="2"/>
      <c r="BG20" s="2"/>
      <c r="BH20" s="2"/>
      <c r="BI20" s="2"/>
      <c r="BJ20" s="2"/>
      <c r="BK20" s="2"/>
    </row>
    <row r="21" spans="2:63" x14ac:dyDescent="0.55000000000000004">
      <c r="B21" s="141" t="s">
        <v>434</v>
      </c>
      <c r="C21" s="2"/>
      <c r="D21" s="2"/>
      <c r="E21" s="2"/>
      <c r="F21" s="132">
        <v>9000000</v>
      </c>
      <c r="H21" s="97"/>
      <c r="N21" s="2"/>
      <c r="O21" s="2"/>
      <c r="P21" s="2"/>
      <c r="Q21" s="2"/>
      <c r="S21" s="2"/>
      <c r="T21" s="2"/>
      <c r="U21" s="2"/>
      <c r="V21" s="2"/>
      <c r="W21" s="2"/>
      <c r="X21" s="2"/>
      <c r="Y21" s="2"/>
      <c r="Z21" s="2"/>
      <c r="AA21" s="128"/>
      <c r="AB21" s="128"/>
      <c r="AC21" s="128"/>
      <c r="AD21" s="128"/>
      <c r="AE21" s="128"/>
      <c r="AF21" s="128"/>
      <c r="AG21" s="128"/>
      <c r="AH21" s="128"/>
      <c r="AI21" s="128"/>
      <c r="AJ21" s="128"/>
      <c r="AK21" s="128"/>
      <c r="AL21" s="128"/>
      <c r="AM21" s="128"/>
      <c r="AN21" s="128"/>
      <c r="AO21" s="2"/>
      <c r="AP21" s="2"/>
      <c r="AQ21" s="2"/>
      <c r="AR21" s="2"/>
      <c r="AS21" s="2"/>
      <c r="AT21" s="2"/>
      <c r="AU21" s="2"/>
      <c r="AV21" s="2"/>
      <c r="AW21" s="2"/>
      <c r="AX21" s="2"/>
      <c r="AY21" s="2"/>
      <c r="AZ21" s="2"/>
      <c r="BA21" s="2"/>
      <c r="BB21" s="2"/>
      <c r="BC21" s="2"/>
      <c r="BD21" s="2"/>
      <c r="BE21" s="2"/>
      <c r="BF21" s="2"/>
      <c r="BG21" s="2"/>
      <c r="BH21" s="2"/>
      <c r="BI21" s="2"/>
      <c r="BJ21" s="2"/>
      <c r="BK21" s="2"/>
    </row>
    <row r="22" spans="2:63" x14ac:dyDescent="0.55000000000000004">
      <c r="B22" s="141" t="s">
        <v>435</v>
      </c>
      <c r="C22" s="2"/>
      <c r="D22" s="2"/>
      <c r="E22" s="2"/>
      <c r="F22" s="132" t="s">
        <v>394</v>
      </c>
      <c r="H22" s="97"/>
      <c r="N22" s="2"/>
      <c r="O22" s="2"/>
      <c r="P22" s="2"/>
      <c r="Q22" s="2"/>
      <c r="S22" s="2"/>
      <c r="T22" s="2"/>
      <c r="U22" s="2"/>
      <c r="V22" s="2"/>
      <c r="W22" s="2"/>
      <c r="X22" s="2"/>
      <c r="Y22" s="2"/>
      <c r="Z22" s="2"/>
      <c r="AA22" s="128"/>
      <c r="AB22" s="128"/>
      <c r="AC22" s="128"/>
      <c r="AD22" s="128"/>
      <c r="AE22" s="128"/>
      <c r="AF22" s="128"/>
      <c r="AG22" s="128"/>
      <c r="AH22" s="128"/>
      <c r="AI22" s="128"/>
      <c r="AJ22" s="128"/>
      <c r="AK22" s="128"/>
      <c r="AL22" s="128"/>
      <c r="AM22" s="128"/>
      <c r="AN22" s="128"/>
      <c r="AO22" s="2"/>
      <c r="AP22" s="2"/>
      <c r="AQ22" s="2"/>
      <c r="AR22" s="2"/>
      <c r="AS22" s="2"/>
      <c r="AT22" s="2"/>
      <c r="AU22" s="2"/>
      <c r="AV22" s="2"/>
      <c r="AW22" s="2"/>
      <c r="AX22" s="2"/>
      <c r="AY22" s="2"/>
      <c r="AZ22" s="2"/>
      <c r="BA22" s="2"/>
      <c r="BB22" s="2"/>
      <c r="BC22" s="2"/>
      <c r="BD22" s="2"/>
      <c r="BE22" s="2"/>
      <c r="BF22" s="2"/>
      <c r="BG22" s="2"/>
      <c r="BH22" s="2"/>
      <c r="BI22" s="2"/>
      <c r="BJ22" s="2"/>
      <c r="BK22" s="2"/>
    </row>
    <row r="23" spans="2:63" x14ac:dyDescent="0.55000000000000004">
      <c r="B23" s="141" t="s">
        <v>169</v>
      </c>
      <c r="C23" s="2"/>
      <c r="D23" s="2"/>
      <c r="E23" s="2"/>
      <c r="F23" s="131" t="s">
        <v>120</v>
      </c>
      <c r="N23" s="2"/>
      <c r="O23" s="2"/>
      <c r="P23" s="2"/>
      <c r="Q23" s="2"/>
      <c r="S23" s="2"/>
      <c r="T23" s="2"/>
      <c r="U23" s="2"/>
      <c r="V23" s="2"/>
      <c r="W23" s="2"/>
      <c r="X23" s="2"/>
      <c r="Y23" s="2"/>
      <c r="Z23" s="2"/>
      <c r="AA23" s="128"/>
      <c r="AB23" s="128"/>
      <c r="AC23" s="128"/>
      <c r="AD23" s="128"/>
      <c r="AE23" s="128"/>
      <c r="AF23" s="128"/>
      <c r="AG23" s="128"/>
      <c r="AH23" s="128"/>
      <c r="AI23" s="128"/>
      <c r="AJ23" s="128"/>
      <c r="AK23" s="128"/>
      <c r="AL23" s="128"/>
      <c r="AM23" s="128"/>
      <c r="AN23" s="128"/>
      <c r="AO23" s="2"/>
      <c r="AP23" s="2"/>
      <c r="AQ23" s="2"/>
      <c r="AR23" s="2"/>
      <c r="AS23" s="2"/>
      <c r="AT23" s="2"/>
      <c r="AU23" s="2"/>
      <c r="AV23" s="2"/>
      <c r="AW23" s="2"/>
      <c r="AX23" s="2"/>
      <c r="AY23" s="2"/>
      <c r="AZ23" s="2"/>
      <c r="BA23" s="2"/>
      <c r="BB23" s="2"/>
      <c r="BC23" s="2"/>
      <c r="BD23" s="2"/>
      <c r="BE23" s="2"/>
      <c r="BF23" s="2"/>
      <c r="BG23" s="2"/>
      <c r="BH23" s="2"/>
      <c r="BI23" s="2"/>
      <c r="BJ23" s="2"/>
      <c r="BK23" s="2"/>
    </row>
    <row r="24" spans="2:63" x14ac:dyDescent="0.55000000000000004">
      <c r="B24" s="141" t="s">
        <v>167</v>
      </c>
      <c r="F24" s="131" t="s">
        <v>393</v>
      </c>
      <c r="N24" s="2"/>
      <c r="O24" s="2"/>
      <c r="P24" s="2"/>
      <c r="Q24" s="2"/>
      <c r="S24" s="2"/>
      <c r="T24" s="2"/>
      <c r="U24" s="2"/>
      <c r="V24" s="2"/>
      <c r="W24" s="2"/>
      <c r="X24" s="2"/>
      <c r="Y24" s="2"/>
      <c r="Z24" s="2"/>
      <c r="AA24" s="128"/>
      <c r="AB24" s="128"/>
      <c r="AC24" s="128"/>
      <c r="AD24" s="128"/>
      <c r="AE24" s="128"/>
      <c r="AF24" s="128"/>
      <c r="AG24" s="128"/>
      <c r="AH24" s="128"/>
      <c r="AI24" s="128"/>
      <c r="AJ24" s="128"/>
      <c r="AK24" s="128"/>
      <c r="AL24" s="128"/>
      <c r="AM24" s="128"/>
      <c r="AN24" s="128"/>
      <c r="AO24" s="2"/>
      <c r="AP24" s="2"/>
      <c r="AQ24" s="2"/>
      <c r="AR24" s="2"/>
      <c r="AS24" s="2"/>
      <c r="AT24" s="2"/>
      <c r="AU24" s="2"/>
      <c r="AV24" s="2"/>
      <c r="AW24" s="2"/>
      <c r="AX24" s="2"/>
      <c r="AY24" s="2"/>
      <c r="AZ24" s="2"/>
      <c r="BA24" s="2"/>
      <c r="BB24" s="2"/>
      <c r="BC24" s="2"/>
      <c r="BD24" s="2"/>
      <c r="BE24" s="2"/>
      <c r="BF24" s="2"/>
      <c r="BG24" s="2"/>
      <c r="BH24" s="2"/>
      <c r="BI24" s="2"/>
      <c r="BJ24" s="2"/>
      <c r="BK24" s="2"/>
    </row>
    <row r="25" spans="2:63" x14ac:dyDescent="0.55000000000000004">
      <c r="B25" s="141" t="s">
        <v>119</v>
      </c>
      <c r="C25" s="2"/>
      <c r="D25" s="2"/>
      <c r="E25" s="2"/>
      <c r="F25" s="131" t="s">
        <v>120</v>
      </c>
      <c r="N25" s="2"/>
      <c r="O25" s="2"/>
      <c r="P25" s="2"/>
      <c r="Q25" s="2"/>
      <c r="S25" s="2"/>
      <c r="T25" s="2"/>
      <c r="U25" s="2"/>
      <c r="V25" s="2"/>
      <c r="W25" s="2"/>
      <c r="X25" s="2"/>
      <c r="Y25" s="2"/>
      <c r="Z25" s="2"/>
      <c r="AA25" s="128"/>
      <c r="AB25" s="128"/>
      <c r="AC25" s="128"/>
      <c r="AD25" s="128"/>
      <c r="AE25" s="128"/>
      <c r="AF25" s="128"/>
      <c r="AG25" s="128"/>
      <c r="AH25" s="128"/>
      <c r="AI25" s="128"/>
      <c r="AJ25" s="128"/>
      <c r="AK25" s="128"/>
      <c r="AL25" s="128"/>
      <c r="AM25" s="128"/>
      <c r="AN25" s="128"/>
      <c r="AO25" s="2"/>
      <c r="AP25" s="2"/>
      <c r="AQ25" s="2"/>
      <c r="AR25" s="2"/>
      <c r="AS25" s="2"/>
      <c r="AT25" s="2"/>
      <c r="AU25" s="2"/>
      <c r="AV25" s="2"/>
      <c r="AW25" s="2"/>
      <c r="AX25" s="2"/>
      <c r="AY25" s="2"/>
      <c r="AZ25" s="2"/>
      <c r="BA25" s="2"/>
      <c r="BB25" s="2"/>
      <c r="BC25" s="2"/>
      <c r="BD25" s="2"/>
      <c r="BE25" s="2"/>
      <c r="BF25" s="2"/>
      <c r="BG25" s="2"/>
      <c r="BH25" s="2"/>
      <c r="BI25" s="2"/>
      <c r="BJ25" s="2"/>
      <c r="BK25" s="2"/>
    </row>
    <row r="26" spans="2:63" x14ac:dyDescent="0.55000000000000004">
      <c r="B26" s="141" t="s">
        <v>453</v>
      </c>
      <c r="C26" s="2"/>
      <c r="D26" s="2"/>
      <c r="E26" s="2"/>
      <c r="F26" s="131" t="s">
        <v>124</v>
      </c>
      <c r="H26" s="106"/>
      <c r="N26" s="2"/>
      <c r="O26" s="2"/>
      <c r="P26" s="2"/>
      <c r="Q26" s="2"/>
      <c r="S26" s="2"/>
      <c r="T26" s="2"/>
      <c r="U26" s="2"/>
      <c r="V26" s="2"/>
      <c r="W26" s="2"/>
      <c r="X26" s="2"/>
      <c r="Y26" s="2"/>
      <c r="Z26" s="2"/>
      <c r="AA26" s="128"/>
      <c r="AB26" s="128"/>
      <c r="AC26" s="128"/>
      <c r="AD26" s="128"/>
      <c r="AE26" s="128"/>
      <c r="AF26" s="128"/>
      <c r="AG26" s="128"/>
      <c r="AH26" s="128"/>
      <c r="AI26" s="128"/>
      <c r="AJ26" s="128"/>
      <c r="AK26" s="128"/>
      <c r="AL26" s="128"/>
      <c r="AM26" s="128"/>
      <c r="AN26" s="128"/>
      <c r="AO26" s="2"/>
      <c r="AP26" s="2"/>
      <c r="AQ26" s="2"/>
      <c r="AR26" s="2"/>
      <c r="AS26" s="2"/>
      <c r="AT26" s="2"/>
      <c r="AU26" s="2"/>
      <c r="AV26" s="2"/>
      <c r="AW26" s="2"/>
      <c r="AX26" s="2"/>
      <c r="AY26" s="2"/>
      <c r="AZ26" s="2"/>
      <c r="BA26" s="2"/>
      <c r="BB26" s="2"/>
      <c r="BC26" s="2"/>
      <c r="BD26" s="2"/>
      <c r="BE26" s="2"/>
      <c r="BF26" s="2"/>
      <c r="BG26" s="2"/>
      <c r="BH26" s="2"/>
      <c r="BI26" s="2"/>
      <c r="BJ26" s="2"/>
      <c r="BK26" s="2"/>
    </row>
    <row r="27" spans="2:63" x14ac:dyDescent="0.55000000000000004">
      <c r="B27" s="141" t="s">
        <v>133</v>
      </c>
      <c r="C27" s="2"/>
      <c r="D27" s="2"/>
      <c r="E27" s="2"/>
      <c r="F27" s="131" t="s">
        <v>120</v>
      </c>
      <c r="H27" s="106"/>
      <c r="N27" s="2"/>
      <c r="O27" s="2"/>
      <c r="P27" s="2"/>
      <c r="Q27" s="2"/>
      <c r="S27" s="2"/>
      <c r="T27" s="2"/>
      <c r="U27" s="2"/>
      <c r="V27" s="2"/>
      <c r="W27" s="2"/>
      <c r="X27" s="2"/>
      <c r="Y27" s="2"/>
      <c r="Z27" s="2"/>
      <c r="AA27" s="128"/>
      <c r="AB27" s="128"/>
      <c r="AC27" s="128"/>
      <c r="AD27" s="128"/>
      <c r="AE27" s="128"/>
      <c r="AF27" s="128"/>
      <c r="AG27" s="128"/>
      <c r="AH27" s="128"/>
      <c r="AI27" s="128"/>
      <c r="AJ27" s="128"/>
      <c r="AK27" s="128"/>
      <c r="AL27" s="128"/>
      <c r="AM27" s="128"/>
      <c r="AN27" s="128"/>
      <c r="AO27" s="2"/>
      <c r="AP27" s="2"/>
      <c r="AQ27" s="2"/>
      <c r="AR27" s="2"/>
      <c r="AS27" s="2"/>
      <c r="AT27" s="2"/>
      <c r="AU27" s="2"/>
      <c r="AV27" s="2"/>
      <c r="AW27" s="2"/>
      <c r="AX27" s="2"/>
      <c r="AY27" s="2"/>
      <c r="AZ27" s="2"/>
      <c r="BA27" s="2"/>
      <c r="BB27" s="2"/>
      <c r="BC27" s="2"/>
      <c r="BD27" s="2"/>
      <c r="BE27" s="2"/>
      <c r="BF27" s="2"/>
      <c r="BG27" s="2"/>
      <c r="BH27" s="2"/>
      <c r="BI27" s="2"/>
      <c r="BJ27" s="2"/>
      <c r="BK27" s="2"/>
    </row>
    <row r="28" spans="2:63" x14ac:dyDescent="0.55000000000000004">
      <c r="B28" s="141" t="s">
        <v>135</v>
      </c>
      <c r="C28" s="2"/>
      <c r="D28" s="2"/>
      <c r="E28" s="2"/>
      <c r="F28" s="131" t="s">
        <v>124</v>
      </c>
      <c r="H28" s="106"/>
      <c r="N28" s="2"/>
      <c r="O28" s="2"/>
      <c r="P28" s="2"/>
      <c r="Q28" s="2"/>
      <c r="S28" s="2"/>
      <c r="T28" s="2"/>
      <c r="U28" s="2"/>
      <c r="V28" s="2"/>
      <c r="W28" s="2"/>
      <c r="X28" s="2"/>
      <c r="Y28" s="2"/>
      <c r="Z28" s="2"/>
      <c r="AA28" s="128"/>
      <c r="AB28" s="128"/>
      <c r="AC28" s="128"/>
      <c r="AD28" s="128"/>
      <c r="AE28" s="128"/>
      <c r="AF28" s="128"/>
      <c r="AG28" s="128"/>
      <c r="AH28" s="128"/>
      <c r="AI28" s="128"/>
      <c r="AJ28" s="128"/>
      <c r="AK28" s="128"/>
      <c r="AL28" s="128"/>
      <c r="AM28" s="128"/>
      <c r="AN28" s="128"/>
      <c r="AO28" s="2"/>
      <c r="AP28" s="2"/>
      <c r="AQ28" s="2"/>
      <c r="AR28" s="2"/>
      <c r="AS28" s="2"/>
      <c r="AT28" s="2"/>
      <c r="AU28" s="2"/>
      <c r="AV28" s="2"/>
      <c r="AW28" s="2"/>
      <c r="AX28" s="2"/>
      <c r="AY28" s="2"/>
      <c r="AZ28" s="2"/>
      <c r="BA28" s="2"/>
      <c r="BB28" s="2"/>
      <c r="BC28" s="2"/>
      <c r="BD28" s="2"/>
      <c r="BE28" s="2"/>
      <c r="BF28" s="2"/>
      <c r="BG28" s="2"/>
      <c r="BH28" s="2"/>
      <c r="BI28" s="2"/>
      <c r="BJ28" s="2"/>
      <c r="BK28" s="2"/>
    </row>
    <row r="29" spans="2:63" x14ac:dyDescent="0.55000000000000004">
      <c r="B29" s="141" t="s">
        <v>408</v>
      </c>
      <c r="C29" s="2"/>
      <c r="D29" s="2"/>
      <c r="E29" s="2"/>
      <c r="F29" s="131" t="s">
        <v>120</v>
      </c>
      <c r="H29" s="106"/>
      <c r="N29" s="2"/>
      <c r="O29" s="2"/>
      <c r="P29" s="2"/>
      <c r="Q29" s="2"/>
      <c r="S29" s="2"/>
      <c r="T29" s="2"/>
      <c r="U29" s="2"/>
      <c r="V29" s="2"/>
      <c r="W29" s="2"/>
      <c r="X29" s="2"/>
      <c r="Y29" s="2"/>
      <c r="Z29" s="2"/>
      <c r="AA29" s="128"/>
      <c r="AB29" s="128"/>
      <c r="AC29" s="128"/>
      <c r="AD29" s="128"/>
      <c r="AE29" s="128"/>
      <c r="AF29" s="128"/>
      <c r="AG29" s="128"/>
      <c r="AH29" s="128"/>
      <c r="AI29" s="128"/>
      <c r="AJ29" s="128"/>
      <c r="AK29" s="128"/>
      <c r="AL29" s="128"/>
      <c r="AM29" s="128"/>
      <c r="AN29" s="128"/>
      <c r="AO29" s="2"/>
      <c r="AP29" s="2"/>
      <c r="AQ29" s="2"/>
      <c r="AR29" s="2"/>
      <c r="AS29" s="2"/>
      <c r="AT29" s="2"/>
      <c r="AU29" s="2"/>
      <c r="AV29" s="2"/>
      <c r="AW29" s="2"/>
      <c r="AX29" s="2"/>
      <c r="AY29" s="2"/>
      <c r="AZ29" s="2"/>
      <c r="BA29" s="2"/>
      <c r="BB29" s="2"/>
      <c r="BC29" s="2"/>
      <c r="BD29" s="2"/>
      <c r="BE29" s="2"/>
      <c r="BF29" s="2"/>
      <c r="BG29" s="2"/>
      <c r="BH29" s="2"/>
      <c r="BI29" s="2"/>
      <c r="BJ29" s="2"/>
      <c r="BK29" s="2"/>
    </row>
    <row r="30" spans="2:63" x14ac:dyDescent="0.55000000000000004">
      <c r="H30" s="106"/>
      <c r="J30" s="2"/>
      <c r="K30" s="2"/>
      <c r="N30" s="2"/>
      <c r="O30" s="2"/>
      <c r="P30" s="2"/>
      <c r="Q30" s="2"/>
      <c r="S30" s="2"/>
      <c r="T30" s="2"/>
      <c r="U30" s="2"/>
      <c r="V30" s="2"/>
      <c r="W30" s="2"/>
      <c r="X30" s="2"/>
      <c r="Y30" s="2"/>
      <c r="Z30" s="2"/>
      <c r="AA30" s="22"/>
      <c r="AB30" s="2"/>
      <c r="AC30" s="2"/>
      <c r="AD30" s="2"/>
      <c r="AE30" s="2"/>
      <c r="AF30" s="2"/>
      <c r="AG30" s="21"/>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row>
    <row r="31" spans="2:63" x14ac:dyDescent="0.55000000000000004">
      <c r="H31" s="106"/>
      <c r="J31" s="2"/>
      <c r="K31" s="2"/>
      <c r="N31" s="2"/>
      <c r="O31" s="2"/>
      <c r="P31" s="2"/>
      <c r="Q31" s="2"/>
      <c r="S31" s="2"/>
      <c r="T31" s="2"/>
      <c r="U31" s="2"/>
      <c r="V31" s="2"/>
      <c r="W31" s="2"/>
      <c r="X31" s="2"/>
      <c r="Y31" s="2"/>
      <c r="Z31" s="2"/>
      <c r="AA31" s="22"/>
      <c r="AB31" s="2"/>
      <c r="AC31" s="2"/>
      <c r="AD31" s="2"/>
      <c r="AE31" s="2"/>
      <c r="AF31" s="2"/>
      <c r="AG31" s="21"/>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row>
    <row r="32" spans="2:63" x14ac:dyDescent="0.55000000000000004">
      <c r="H32" s="106"/>
      <c r="J32" s="2"/>
      <c r="K32" s="2"/>
      <c r="N32" s="2"/>
      <c r="O32" s="2"/>
      <c r="P32" s="2"/>
      <c r="Q32" s="2"/>
      <c r="S32" s="2"/>
      <c r="T32" s="2"/>
      <c r="U32" s="2"/>
      <c r="V32" s="2"/>
      <c r="W32" s="2"/>
      <c r="X32" s="2"/>
      <c r="Y32" s="2"/>
      <c r="Z32" s="2"/>
      <c r="AA32" s="22"/>
      <c r="AB32" s="2"/>
      <c r="AC32" s="2"/>
      <c r="AD32" s="2"/>
      <c r="AE32" s="2"/>
      <c r="AF32" s="2"/>
      <c r="AG32" s="21"/>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row>
    <row r="33" spans="1:63" x14ac:dyDescent="0.55000000000000004">
      <c r="H33" s="106"/>
      <c r="J33" s="2"/>
      <c r="K33" s="2"/>
      <c r="N33" s="2"/>
      <c r="O33" s="2"/>
      <c r="P33" s="2"/>
      <c r="Q33" s="2"/>
      <c r="S33" s="2"/>
      <c r="T33" s="2"/>
      <c r="U33" s="2"/>
      <c r="V33" s="2"/>
      <c r="W33" s="2"/>
      <c r="X33" s="2"/>
      <c r="Y33" s="2"/>
      <c r="Z33" s="2"/>
      <c r="AA33" s="22"/>
      <c r="AB33" s="2"/>
      <c r="AC33" s="2"/>
      <c r="AD33" s="2"/>
      <c r="AE33" s="2"/>
      <c r="AF33" s="2"/>
      <c r="AG33" s="21"/>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row>
    <row r="34" spans="1:63" ht="18.3" x14ac:dyDescent="0.55000000000000004">
      <c r="A34" s="2"/>
      <c r="B34" s="144" t="s">
        <v>171</v>
      </c>
      <c r="C34" s="108"/>
      <c r="D34" s="109"/>
      <c r="H34" s="106"/>
      <c r="J34" s="2"/>
      <c r="K34" s="2"/>
      <c r="N34" s="2"/>
      <c r="O34" s="2"/>
      <c r="P34" s="2"/>
      <c r="Q34" s="2"/>
      <c r="S34" s="2"/>
      <c r="T34" s="2"/>
      <c r="U34" s="2"/>
      <c r="V34" s="2"/>
      <c r="W34" s="2"/>
      <c r="X34" s="2"/>
      <c r="Y34" s="2"/>
      <c r="Z34" s="2"/>
      <c r="AA34" s="22"/>
      <c r="AB34" s="2"/>
      <c r="AC34" s="2"/>
      <c r="AD34" s="2"/>
      <c r="AE34" s="2"/>
      <c r="AF34" s="2"/>
      <c r="AG34" s="21"/>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row>
    <row r="35" spans="1:63" outlineLevel="1" x14ac:dyDescent="0.55000000000000004">
      <c r="D35" s="2"/>
      <c r="E35" s="2"/>
      <c r="F35" s="2"/>
      <c r="G35" s="2"/>
      <c r="H35" s="2"/>
      <c r="I35" s="2"/>
      <c r="J35" s="2"/>
      <c r="K35" s="2"/>
      <c r="L35" s="2"/>
      <c r="M35" s="2"/>
      <c r="N35" s="2"/>
      <c r="O35" s="2"/>
      <c r="P35" s="2"/>
      <c r="Q35" s="2"/>
      <c r="R35" s="2"/>
      <c r="S35" s="2"/>
      <c r="T35" s="2"/>
      <c r="U35" s="2"/>
      <c r="V35" s="2"/>
      <c r="W35" s="2"/>
      <c r="X35" s="45"/>
      <c r="Y35" s="46"/>
      <c r="Z35" s="2"/>
      <c r="AA35" s="2"/>
      <c r="AB35" s="2"/>
      <c r="AC35" s="2"/>
      <c r="AD35" s="2"/>
      <c r="AE35" s="2"/>
      <c r="AF35" s="2"/>
      <c r="AG35" s="21"/>
      <c r="AH35" s="2"/>
      <c r="AI35" s="2"/>
      <c r="AJ35" s="2"/>
      <c r="AK35" s="2"/>
      <c r="AL35" s="2"/>
    </row>
    <row r="36" spans="1:63" ht="19.899999999999999" customHeight="1" outlineLevel="1" x14ac:dyDescent="0.55000000000000004">
      <c r="B36" s="173" t="s">
        <v>68</v>
      </c>
      <c r="C36" s="173"/>
      <c r="D36" s="173"/>
      <c r="E36" s="2"/>
      <c r="F36" s="174" t="s">
        <v>129</v>
      </c>
      <c r="G36" s="174"/>
      <c r="H36" s="174"/>
      <c r="I36" s="2"/>
      <c r="J36" s="174" t="s">
        <v>70</v>
      </c>
      <c r="K36" s="174"/>
      <c r="L36" s="174"/>
      <c r="M36" s="174"/>
      <c r="N36" s="2"/>
      <c r="O36" s="174" t="s">
        <v>39</v>
      </c>
      <c r="P36" s="174"/>
      <c r="Q36" s="174"/>
      <c r="R36" s="174"/>
      <c r="S36" s="2"/>
      <c r="T36" s="170" t="s">
        <v>474</v>
      </c>
      <c r="U36" s="170"/>
      <c r="W36" s="171" t="s">
        <v>32</v>
      </c>
      <c r="X36" s="171"/>
      <c r="Y36" s="171"/>
      <c r="Z36" s="171"/>
      <c r="AA36" s="171"/>
      <c r="AB36" s="171"/>
      <c r="AC36" s="2"/>
      <c r="AD36" s="171" t="s">
        <v>33</v>
      </c>
      <c r="AE36" s="171"/>
      <c r="AF36" s="171"/>
      <c r="AG36" s="171"/>
      <c r="AH36" s="171"/>
      <c r="AI36" s="171"/>
      <c r="AJ36" s="21"/>
      <c r="AK36" s="171" t="s">
        <v>154</v>
      </c>
      <c r="AL36" s="171"/>
      <c r="AM36" s="19"/>
      <c r="AN36" s="171" t="s">
        <v>340</v>
      </c>
      <c r="AO36" s="171"/>
    </row>
    <row r="37" spans="1:63" ht="30.6" customHeight="1" outlineLevel="1" x14ac:dyDescent="0.55000000000000004">
      <c r="B37" s="146" t="s">
        <v>149</v>
      </c>
      <c r="C37" s="146" t="s">
        <v>10</v>
      </c>
      <c r="D37" s="78" t="s">
        <v>126</v>
      </c>
      <c r="E37" s="13"/>
      <c r="F37" s="82" t="s">
        <v>129</v>
      </c>
      <c r="G37" s="82" t="s">
        <v>158</v>
      </c>
      <c r="H37" s="134" t="s">
        <v>2</v>
      </c>
      <c r="I37" s="2"/>
      <c r="J37" s="88" t="s">
        <v>127</v>
      </c>
      <c r="K37" s="88" t="s">
        <v>37</v>
      </c>
      <c r="L37" s="48" t="s">
        <v>131</v>
      </c>
      <c r="M37" s="134" t="s">
        <v>2</v>
      </c>
      <c r="N37" s="13"/>
      <c r="O37" s="91" t="s">
        <v>128</v>
      </c>
      <c r="P37" s="91" t="s">
        <v>37</v>
      </c>
      <c r="Q37" s="92" t="s">
        <v>132</v>
      </c>
      <c r="R37" s="134" t="s">
        <v>2</v>
      </c>
      <c r="S37" s="55"/>
      <c r="T37" s="91" t="s">
        <v>159</v>
      </c>
      <c r="U37" s="91" t="s">
        <v>37</v>
      </c>
      <c r="W37" s="53" t="s">
        <v>12</v>
      </c>
      <c r="X37" s="53" t="s">
        <v>35</v>
      </c>
      <c r="Y37" s="53" t="s">
        <v>36</v>
      </c>
      <c r="Z37" s="53" t="s">
        <v>42</v>
      </c>
      <c r="AA37" s="56" t="s">
        <v>121</v>
      </c>
      <c r="AB37" s="53" t="s">
        <v>1</v>
      </c>
      <c r="AC37" s="55"/>
      <c r="AD37" s="53" t="s">
        <v>12</v>
      </c>
      <c r="AE37" s="53" t="s">
        <v>35</v>
      </c>
      <c r="AF37" s="53" t="s">
        <v>36</v>
      </c>
      <c r="AG37" s="56" t="s">
        <v>42</v>
      </c>
      <c r="AH37" s="56" t="s">
        <v>121</v>
      </c>
      <c r="AI37" s="53" t="s">
        <v>1</v>
      </c>
      <c r="AJ37" s="57"/>
      <c r="AK37" s="58" t="s">
        <v>3</v>
      </c>
      <c r="AL37" s="58" t="s">
        <v>0</v>
      </c>
      <c r="AM37" s="19"/>
      <c r="AN37" s="76" t="s">
        <v>46</v>
      </c>
      <c r="AO37" s="76" t="s">
        <v>150</v>
      </c>
      <c r="AP37" s="19"/>
      <c r="AQ37" s="19"/>
      <c r="AR37" s="19"/>
      <c r="AS37" s="19"/>
    </row>
    <row r="38" spans="1:63" s="19" customFormat="1" outlineLevel="1" x14ac:dyDescent="0.55000000000000004">
      <c r="B38" s="15" t="s">
        <v>176</v>
      </c>
      <c r="C38" s="15" t="s">
        <v>177</v>
      </c>
      <c r="D38" s="16" t="s">
        <v>178</v>
      </c>
      <c r="E38" s="20"/>
      <c r="F38" s="83" t="s">
        <v>179</v>
      </c>
      <c r="G38" s="83" t="s">
        <v>180</v>
      </c>
      <c r="H38" s="18" t="s">
        <v>181</v>
      </c>
      <c r="I38" s="23"/>
      <c r="J38" s="18" t="s">
        <v>182</v>
      </c>
      <c r="K38" s="18" t="s">
        <v>183</v>
      </c>
      <c r="L38" s="18" t="s">
        <v>187</v>
      </c>
      <c r="M38" s="17" t="s">
        <v>188</v>
      </c>
      <c r="N38" s="20"/>
      <c r="O38" s="17" t="s">
        <v>189</v>
      </c>
      <c r="P38" s="17" t="s">
        <v>190</v>
      </c>
      <c r="Q38" s="17" t="s">
        <v>191</v>
      </c>
      <c r="R38" s="143" t="s">
        <v>192</v>
      </c>
      <c r="S38" s="61"/>
      <c r="T38" s="17" t="s">
        <v>193</v>
      </c>
      <c r="U38" s="17" t="s">
        <v>194</v>
      </c>
      <c r="W38" s="60" t="s">
        <v>195</v>
      </c>
      <c r="X38" s="60" t="s">
        <v>196</v>
      </c>
      <c r="Y38" s="60" t="s">
        <v>197</v>
      </c>
      <c r="Z38" s="60" t="s">
        <v>198</v>
      </c>
      <c r="AA38" s="60" t="s">
        <v>199</v>
      </c>
      <c r="AB38" s="60" t="s">
        <v>200</v>
      </c>
      <c r="AC38" s="61"/>
      <c r="AD38" s="60" t="s">
        <v>201</v>
      </c>
      <c r="AE38" s="60" t="s">
        <v>202</v>
      </c>
      <c r="AF38" s="60" t="s">
        <v>203</v>
      </c>
      <c r="AG38" s="60" t="s">
        <v>204</v>
      </c>
      <c r="AH38" s="60" t="s">
        <v>205</v>
      </c>
      <c r="AI38" s="60" t="s">
        <v>206</v>
      </c>
      <c r="AJ38" s="62"/>
      <c r="AK38" s="60" t="s">
        <v>207</v>
      </c>
      <c r="AL38" s="60" t="s">
        <v>208</v>
      </c>
      <c r="AN38" s="60" t="s">
        <v>209</v>
      </c>
      <c r="AO38" s="60" t="s">
        <v>210</v>
      </c>
    </row>
    <row r="39" spans="1:63" outlineLevel="1" x14ac:dyDescent="0.55000000000000004">
      <c r="B39" s="1"/>
      <c r="C39" s="3">
        <v>0</v>
      </c>
      <c r="D39" s="87">
        <v>1</v>
      </c>
      <c r="E39" s="2"/>
      <c r="F39" s="84">
        <v>1</v>
      </c>
      <c r="G39" s="84"/>
      <c r="H39" s="5"/>
      <c r="I39" s="2"/>
      <c r="J39" s="2"/>
      <c r="K39" s="2"/>
      <c r="L39" s="55"/>
      <c r="M39" s="55"/>
      <c r="N39" s="2"/>
      <c r="O39" s="10"/>
      <c r="P39" s="10"/>
      <c r="Q39" s="49"/>
      <c r="R39" s="55"/>
      <c r="S39" s="55"/>
      <c r="T39" s="2"/>
      <c r="U39" s="2"/>
      <c r="W39" s="63">
        <f>IFERROR(IF(C39&gt;=$F$7*4,0,-IF($F$22="pattern",U40*$F$21,IF(AND($F$22="single",C39=0),$F$21,IF(AND($F$22="annual",MOD(C39,4)=0),$F$21/$F$7,IF(AND($F$22="semi-ann",MOD(C39,2)=0),$F$21/(2*$F$7),IF($F$22="quarterly",$F$21/(4*$F$7),0)))))*F39),0)</f>
        <v>-1125000</v>
      </c>
      <c r="X39" s="63"/>
      <c r="Y39" s="63"/>
      <c r="Z39" s="63">
        <f>-$F$13*$F$21</f>
        <v>-900000</v>
      </c>
      <c r="AA39" s="63"/>
      <c r="AB39" s="64">
        <f>SUM(W39:AA39)</f>
        <v>-2025000</v>
      </c>
      <c r="AC39" s="55"/>
      <c r="AD39" s="64">
        <f t="shared" ref="AD39:AD47" si="0">W39*$D39</f>
        <v>-1125000</v>
      </c>
      <c r="AE39" s="64"/>
      <c r="AF39" s="64"/>
      <c r="AG39" s="64">
        <f t="shared" ref="AG39:AG47" si="1">Z39*$D39</f>
        <v>-900000</v>
      </c>
      <c r="AH39" s="64"/>
      <c r="AI39" s="64">
        <f>SUM(AD39:AH39)</f>
        <v>-2025000</v>
      </c>
      <c r="AJ39" s="57"/>
      <c r="AK39" s="51">
        <f ca="1">SUM(AD39:AD$47,AG39:AG$47)/D39+SUM(AE40:AF$48,AH40:AH$47)/D39</f>
        <v>-3018049.3587192083</v>
      </c>
      <c r="AL39" s="51">
        <f>SUM(AE40:$AF$48)*$F$14/D39</f>
        <v>261454.42475421843</v>
      </c>
      <c r="AM39" s="19"/>
      <c r="AN39" s="51">
        <f ca="1">-SUM(AD39:$AD$48,AH39:$AH$48)/D39</f>
        <v>7347137.8538035769</v>
      </c>
      <c r="AO39" s="51">
        <f ca="1">-SUM(W39:$W$48,AA39:$AA$48)</f>
        <v>7464283.2667799741</v>
      </c>
      <c r="AP39" s="19"/>
      <c r="AQ39" s="19"/>
      <c r="AR39" s="19"/>
      <c r="AS39" s="19"/>
    </row>
    <row r="40" spans="1:63" outlineLevel="1" x14ac:dyDescent="0.55000000000000004">
      <c r="A40" s="9"/>
      <c r="B40" s="1" t="s">
        <v>6</v>
      </c>
      <c r="C40" s="3">
        <v>1</v>
      </c>
      <c r="D40" s="87">
        <f t="shared" ref="D40:D47" si="2">D39/(1+$F$17)^(1/4)</f>
        <v>0.99506157747984325</v>
      </c>
      <c r="E40" s="4"/>
      <c r="F40" s="84">
        <f t="shared" ref="F40:F47" si="3">(1-$F$19)^(C40/4)</f>
        <v>0.94574160900317583</v>
      </c>
      <c r="G40" s="84">
        <f>AVERAGE(F39:F40)</f>
        <v>0.97287080450158792</v>
      </c>
      <c r="H40" s="84">
        <f>F40*D40</f>
        <v>0.94107113734302528</v>
      </c>
      <c r="I40" s="4"/>
      <c r="J40" s="98">
        <v>1</v>
      </c>
      <c r="K40" s="94">
        <f t="shared" ref="K40:K47" si="4">J40/$J$50</f>
        <v>0.125</v>
      </c>
      <c r="L40" s="47">
        <f>J40*G40</f>
        <v>0.97287080450158792</v>
      </c>
      <c r="M40" s="47">
        <f>L40*D40</f>
        <v>0.96806635741143421</v>
      </c>
      <c r="N40" s="4"/>
      <c r="O40" s="98">
        <v>1</v>
      </c>
      <c r="P40" s="94">
        <f t="shared" ref="P40:P47" si="5">O40/$O$50</f>
        <v>0.125</v>
      </c>
      <c r="Q40" s="47">
        <f>O40*G40</f>
        <v>0.97287080450158792</v>
      </c>
      <c r="R40" s="47">
        <f>Q40*D40</f>
        <v>0.96806635741143421</v>
      </c>
      <c r="T40" s="138">
        <v>0.20282873599525819</v>
      </c>
      <c r="U40" s="136">
        <f>T40/$T$50</f>
        <v>0.20949555849661408</v>
      </c>
      <c r="W40" s="63">
        <f t="shared" ref="W40:W47" si="6">IFERROR(IF(C40&gt;=$F$7*4,0,-IF($F$22="pattern",U41*$F$21,IF(AND($F$22="single",C40=0),$F$21,IF(AND($F$22="annual",MOD(C40,4)=0),$F$21/$F$7,IF(AND($F$22="semi-ann",MOD(C40,2)=0),$F$21/(2*$F$7),IF($F$22="quarterly",$F$21/(4*$F$7),0)))))*F40),0)</f>
        <v>-1063959.3101285729</v>
      </c>
      <c r="X40" s="63">
        <f t="shared" ref="X40:X47" si="7">$F$21*$F$11*P40*((1+$F$18)^(C40/4))*F40</f>
        <v>639965.57494415354</v>
      </c>
      <c r="Y40" s="63">
        <f t="shared" ref="Y40:Y47" si="8">$F$21*$F$12*IF($F$28="risk",P40*F40,IF($F$28="policies IF",F40/($F$7*4),1/($F$7*4)))</f>
        <v>159593.89651928592</v>
      </c>
      <c r="Z40" s="63">
        <v>0</v>
      </c>
      <c r="AA40" s="63">
        <f t="shared" ref="AA40:AA47" ca="1" si="9">IF($F$25="no",0,1)*(F40-F39)*OFFSET(W40,-IF($F$22="single",C40,IF($F$22="annual",MOD(C40,4),IF($F$22="semi-ann",MOD(C40,2),0))),0)*IF($F$22="single",($F$7*4-C40)/($F$7*4),IF(AND($F$22="annual",MOD(C40,4)&lt;&gt;0),(4-MOD(C40,4))/4,IF(AND($F$22="semi-ann",MOD(C40,2)&lt;&gt;0),0.5,0)))</f>
        <v>0</v>
      </c>
      <c r="AB40" s="64">
        <f t="shared" ref="AB40:AB47" ca="1" si="10">SUM(W40:AA40)</f>
        <v>-264399.8386651334</v>
      </c>
      <c r="AC40" s="51"/>
      <c r="AD40" s="51">
        <f t="shared" si="0"/>
        <v>-1058705.0295109034</v>
      </c>
      <c r="AE40" s="64">
        <f t="shared" ref="AE40:AF47" si="11">X40*$D40</f>
        <v>636805.15453672432</v>
      </c>
      <c r="AF40" s="64">
        <f t="shared" si="11"/>
        <v>158805.75442663551</v>
      </c>
      <c r="AG40" s="51">
        <f t="shared" si="1"/>
        <v>0</v>
      </c>
      <c r="AH40" s="64">
        <f t="shared" ref="AH40:AH47" ca="1" si="12">AA40*$D40</f>
        <v>0</v>
      </c>
      <c r="AI40" s="64">
        <f t="shared" ref="AI40:AI47" ca="1" si="13">SUM(AD40:AH40)</f>
        <v>-263094.12054754357</v>
      </c>
      <c r="AJ40" s="11"/>
      <c r="AK40" s="51">
        <f ca="1">SUM(AD40:AD$47,AG40:AG$47)/D40+SUM(AE41:AF$48,AH41:AH$47)/D40</f>
        <v>-1797537.266198785</v>
      </c>
      <c r="AL40" s="51">
        <f>SUM(AE41:$AF$48)*$F$14/D40</f>
        <v>222774.03160061303</v>
      </c>
      <c r="AM40" s="19"/>
      <c r="AN40" s="51">
        <f ca="1">-SUM(AD40:$AD$48,AH40:$AH$48)/D40</f>
        <v>6253017.8982110452</v>
      </c>
      <c r="AO40" s="51">
        <f ca="1">-SUM(W40:$W$48,AA40:$AA$48)</f>
        <v>6339283.2667799741</v>
      </c>
      <c r="AP40" s="19"/>
      <c r="AQ40" s="127"/>
      <c r="AR40" s="19"/>
      <c r="AS40" s="19"/>
    </row>
    <row r="41" spans="1:63" outlineLevel="1" x14ac:dyDescent="0.55000000000000004">
      <c r="A41" s="9"/>
      <c r="B41" s="1" t="s">
        <v>7</v>
      </c>
      <c r="C41" s="3">
        <v>2</v>
      </c>
      <c r="D41" s="87">
        <f t="shared" si="2"/>
        <v>0.99014754297667418</v>
      </c>
      <c r="E41" s="4"/>
      <c r="F41" s="84">
        <f t="shared" si="3"/>
        <v>0.89442719099991586</v>
      </c>
      <c r="G41" s="84">
        <f t="shared" ref="G41:G47" si="14">AVERAGE(F40:F41)</f>
        <v>0.92008440000154579</v>
      </c>
      <c r="H41" s="84">
        <f t="shared" ref="H41:H47" si="15">F41*D41</f>
        <v>0.88561488554009515</v>
      </c>
      <c r="I41" s="4"/>
      <c r="J41" s="98">
        <v>1</v>
      </c>
      <c r="K41" s="94">
        <f t="shared" si="4"/>
        <v>0.125</v>
      </c>
      <c r="L41" s="47">
        <f t="shared" ref="L41:L47" si="16">J41*G41</f>
        <v>0.92008440000154579</v>
      </c>
      <c r="M41" s="47">
        <f t="shared" ref="M41:M47" si="17">L41*D41</f>
        <v>0.91101930799269804</v>
      </c>
      <c r="N41" s="4"/>
      <c r="O41" s="98">
        <v>1</v>
      </c>
      <c r="P41" s="94">
        <f t="shared" si="5"/>
        <v>0.125</v>
      </c>
      <c r="Q41" s="47">
        <f t="shared" ref="Q41:Q47" si="18">O41*G41</f>
        <v>0.92008440000154579</v>
      </c>
      <c r="R41" s="47">
        <f t="shared" ref="R41:R47" si="19">Q41*D41</f>
        <v>0.91101930799269804</v>
      </c>
      <c r="S41" s="51"/>
      <c r="T41" s="138">
        <v>0.17818906429460918</v>
      </c>
      <c r="U41" s="136">
        <f t="shared" ref="U41:U47" si="20">T41/$T$50</f>
        <v>0.18404599998720564</v>
      </c>
      <c r="W41" s="63">
        <f t="shared" si="6"/>
        <v>-1006230.5898749053</v>
      </c>
      <c r="X41" s="63">
        <f t="shared" si="7"/>
        <v>606749.53646459419</v>
      </c>
      <c r="Y41" s="63">
        <f t="shared" si="8"/>
        <v>150934.58848123581</v>
      </c>
      <c r="Z41" s="63">
        <v>0</v>
      </c>
      <c r="AA41" s="63">
        <f t="shared" ca="1" si="9"/>
        <v>0</v>
      </c>
      <c r="AB41" s="64">
        <f t="shared" ca="1" si="10"/>
        <v>-248546.4649290753</v>
      </c>
      <c r="AC41" s="51"/>
      <c r="AD41" s="51">
        <f t="shared" si="0"/>
        <v>-996316.74623260705</v>
      </c>
      <c r="AE41" s="64">
        <f t="shared" si="11"/>
        <v>600771.56273265393</v>
      </c>
      <c r="AF41" s="64">
        <f t="shared" si="11"/>
        <v>149447.51193489108</v>
      </c>
      <c r="AG41" s="51">
        <f t="shared" si="1"/>
        <v>0</v>
      </c>
      <c r="AH41" s="64">
        <f t="shared" ca="1" si="12"/>
        <v>0</v>
      </c>
      <c r="AI41" s="64">
        <f t="shared" ca="1" si="13"/>
        <v>-246097.67156506205</v>
      </c>
      <c r="AJ41" s="57"/>
      <c r="AK41" s="51">
        <f ca="1">SUM(AD41:AD$47,AG41:AG$47)/D41+SUM(AE42:AF$48,AH42:AH$47)/D41</f>
        <v>-1494902.778215629</v>
      </c>
      <c r="AL41" s="51">
        <f>SUM(AE42:$AF$48)*$F$14/D41</f>
        <v>185995.4376284421</v>
      </c>
      <c r="AM41" s="19"/>
      <c r="AN41" s="51">
        <f ca="1">-SUM(AD41:$AD$48,AH41:$AH$48)/D41</f>
        <v>5214811.530784471</v>
      </c>
      <c r="AO41" s="51">
        <f ca="1">-SUM(W41:$W$48,AA41:$AA$48)</f>
        <v>5275323.9566514017</v>
      </c>
      <c r="AP41" s="19"/>
      <c r="AQ41" s="127"/>
      <c r="AR41" s="19"/>
      <c r="AS41" s="19"/>
    </row>
    <row r="42" spans="1:63" outlineLevel="1" x14ac:dyDescent="0.55000000000000004">
      <c r="A42" s="9"/>
      <c r="B42" s="1" t="s">
        <v>8</v>
      </c>
      <c r="C42" s="3">
        <v>3</v>
      </c>
      <c r="D42" s="87">
        <f t="shared" si="2"/>
        <v>0.98525777605216036</v>
      </c>
      <c r="E42" s="4"/>
      <c r="F42" s="84">
        <f>(1-$F$19)^(C42/4)</f>
        <v>0.84589701075245127</v>
      </c>
      <c r="G42" s="84">
        <f t="shared" si="14"/>
        <v>0.87016210087618351</v>
      </c>
      <c r="H42" s="84">
        <f t="shared" si="15"/>
        <v>0.83342660758313047</v>
      </c>
      <c r="I42" s="4"/>
      <c r="J42" s="98">
        <v>1</v>
      </c>
      <c r="K42" s="94">
        <f t="shared" si="4"/>
        <v>0.125</v>
      </c>
      <c r="L42" s="47">
        <f t="shared" si="16"/>
        <v>0.87016210087618351</v>
      </c>
      <c r="M42" s="47">
        <f t="shared" si="17"/>
        <v>0.85733397631414421</v>
      </c>
      <c r="N42" s="4"/>
      <c r="O42" s="98">
        <v>1</v>
      </c>
      <c r="P42" s="94">
        <f t="shared" si="5"/>
        <v>0.125</v>
      </c>
      <c r="Q42" s="47">
        <f t="shared" si="18"/>
        <v>0.87016210087618351</v>
      </c>
      <c r="R42" s="47">
        <f t="shared" si="19"/>
        <v>0.85733397631414421</v>
      </c>
      <c r="S42" s="51"/>
      <c r="T42" s="138">
        <v>0.20194032380116383</v>
      </c>
      <c r="U42" s="136">
        <f t="shared" si="20"/>
        <v>0.20857794488597978</v>
      </c>
      <c r="W42" s="63">
        <f t="shared" si="6"/>
        <v>-951634.13709650771</v>
      </c>
      <c r="X42" s="63">
        <f t="shared" si="7"/>
        <v>575257.50511209294</v>
      </c>
      <c r="Y42" s="63">
        <f t="shared" si="8"/>
        <v>142745.12056447615</v>
      </c>
      <c r="Z42" s="63">
        <v>0</v>
      </c>
      <c r="AA42" s="63">
        <f t="shared" ca="1" si="9"/>
        <v>0</v>
      </c>
      <c r="AB42" s="64">
        <f t="shared" ca="1" si="10"/>
        <v>-233631.51141993862</v>
      </c>
      <c r="AC42" s="51"/>
      <c r="AD42" s="51">
        <f t="shared" si="0"/>
        <v>-937604.93353102182</v>
      </c>
      <c r="AE42" s="64">
        <f t="shared" si="11"/>
        <v>566776.93014405493</v>
      </c>
      <c r="AF42" s="64">
        <f t="shared" si="11"/>
        <v>140640.74002965327</v>
      </c>
      <c r="AG42" s="51">
        <f t="shared" si="1"/>
        <v>0</v>
      </c>
      <c r="AH42" s="64">
        <f t="shared" ca="1" si="12"/>
        <v>0</v>
      </c>
      <c r="AI42" s="64">
        <f t="shared" ca="1" si="13"/>
        <v>-230187.26335731361</v>
      </c>
      <c r="AJ42" s="57"/>
      <c r="AK42" s="51">
        <f ca="1">SUM(AD42:AD$47,AG42:AG$47)/D42+SUM(AE43:AF$48,AH43:AH$47)/D42</f>
        <v>-1209100.0606497559</v>
      </c>
      <c r="AL42" s="51">
        <f>SUM(AE43:$AF$48)*$F$14/D42</f>
        <v>151018.38897449171</v>
      </c>
      <c r="AM42" s="19"/>
      <c r="AN42" s="51">
        <f ca="1">-SUM(AD42:$AD$48,AH42:$AH$48)/D42</f>
        <v>4229467.8401395893</v>
      </c>
      <c r="AO42" s="51">
        <f ca="1">-SUM(W42:$W$48,AA42:$AA$48)</f>
        <v>4269093.3667764962</v>
      </c>
      <c r="AP42" s="19"/>
      <c r="AQ42" s="127"/>
      <c r="AR42" s="19"/>
      <c r="AS42" s="19"/>
    </row>
    <row r="43" spans="1:63" outlineLevel="1" x14ac:dyDescent="0.55000000000000004">
      <c r="A43" s="9"/>
      <c r="B43" s="1" t="s">
        <v>9</v>
      </c>
      <c r="C43" s="3">
        <v>4</v>
      </c>
      <c r="D43" s="87">
        <f t="shared" si="2"/>
        <v>0.98039215686274483</v>
      </c>
      <c r="E43" s="4"/>
      <c r="F43" s="84">
        <f t="shared" si="3"/>
        <v>0.8</v>
      </c>
      <c r="G43" s="84">
        <f t="shared" si="14"/>
        <v>0.82294850537622566</v>
      </c>
      <c r="H43" s="84">
        <f t="shared" si="15"/>
        <v>0.78431372549019596</v>
      </c>
      <c r="I43" s="4"/>
      <c r="J43" s="98">
        <v>1</v>
      </c>
      <c r="K43" s="94">
        <f t="shared" si="4"/>
        <v>0.125</v>
      </c>
      <c r="L43" s="47">
        <f t="shared" si="16"/>
        <v>0.82294850537622566</v>
      </c>
      <c r="M43" s="47">
        <f t="shared" si="17"/>
        <v>0.80681226017277008</v>
      </c>
      <c r="N43" s="4"/>
      <c r="O43" s="98">
        <v>1</v>
      </c>
      <c r="P43" s="94">
        <f t="shared" si="5"/>
        <v>0.125</v>
      </c>
      <c r="Q43" s="47">
        <f t="shared" si="18"/>
        <v>0.82294850537622566</v>
      </c>
      <c r="R43" s="47">
        <f t="shared" si="19"/>
        <v>0.80681226017277008</v>
      </c>
      <c r="S43" s="51"/>
      <c r="T43" s="138">
        <v>0.20709640104961757</v>
      </c>
      <c r="U43" s="136">
        <f t="shared" si="20"/>
        <v>0.21390349837580555</v>
      </c>
      <c r="W43" s="63">
        <f t="shared" si="6"/>
        <v>-900000</v>
      </c>
      <c r="X43" s="63">
        <f t="shared" si="7"/>
        <v>545400</v>
      </c>
      <c r="Y43" s="63">
        <f t="shared" si="8"/>
        <v>135000</v>
      </c>
      <c r="Z43" s="63">
        <v>0</v>
      </c>
      <c r="AA43" s="63">
        <f t="shared" ca="1" si="9"/>
        <v>0</v>
      </c>
      <c r="AB43" s="64">
        <f t="shared" ca="1" si="10"/>
        <v>-219600</v>
      </c>
      <c r="AC43" s="51"/>
      <c r="AD43" s="51">
        <f t="shared" si="0"/>
        <v>-882352.94117647037</v>
      </c>
      <c r="AE43" s="64">
        <f t="shared" si="11"/>
        <v>534705.88235294109</v>
      </c>
      <c r="AF43" s="64">
        <f t="shared" si="11"/>
        <v>132352.94117647054</v>
      </c>
      <c r="AG43" s="51">
        <f t="shared" si="1"/>
        <v>0</v>
      </c>
      <c r="AH43" s="64">
        <f t="shared" ca="1" si="12"/>
        <v>0</v>
      </c>
      <c r="AI43" s="64">
        <f t="shared" ca="1" si="13"/>
        <v>-215294.11764705874</v>
      </c>
      <c r="AJ43" s="57"/>
      <c r="AK43" s="51">
        <f ca="1">SUM(AD43:AD$47,AG43:AG$47)/D43+SUM(AE44:AF$48,AH44:AH$47)/D43</f>
        <v>-939143.70931427507</v>
      </c>
      <c r="AL43" s="51">
        <f>SUM(AE44:$AF$48)*$F$14/D43</f>
        <v>117747.88290526754</v>
      </c>
      <c r="AM43" s="19"/>
      <c r="AN43" s="51">
        <f ca="1">-SUM(AD43:$AD$48,AH43:$AH$48)/D43</f>
        <v>3294101.3674196261</v>
      </c>
      <c r="AO43" s="51">
        <f ca="1">-SUM(W43:$W$48,AA43:$AA$48)</f>
        <v>3317459.2296799887</v>
      </c>
      <c r="AP43" s="19"/>
      <c r="AQ43" s="127"/>
      <c r="AR43" s="19"/>
      <c r="AS43" s="19"/>
    </row>
    <row r="44" spans="1:63" outlineLevel="1" x14ac:dyDescent="0.55000000000000004">
      <c r="A44" s="9"/>
      <c r="B44" s="1" t="s">
        <v>16</v>
      </c>
      <c r="C44" s="3">
        <v>5</v>
      </c>
      <c r="D44" s="87">
        <f t="shared" si="2"/>
        <v>0.97555056615670888</v>
      </c>
      <c r="E44" s="4"/>
      <c r="F44" s="84">
        <f t="shared" si="3"/>
        <v>0.75659328720254071</v>
      </c>
      <c r="G44" s="84">
        <f t="shared" si="14"/>
        <v>0.77829664360127038</v>
      </c>
      <c r="H44" s="84">
        <f t="shared" si="15"/>
        <v>0.73809500968080399</v>
      </c>
      <c r="I44" s="4"/>
      <c r="J44" s="98">
        <v>1</v>
      </c>
      <c r="K44" s="94">
        <f t="shared" si="4"/>
        <v>0.125</v>
      </c>
      <c r="L44" s="47">
        <f t="shared" si="16"/>
        <v>0.77829664360127038</v>
      </c>
      <c r="M44" s="47">
        <f t="shared" si="17"/>
        <v>0.75926773130308556</v>
      </c>
      <c r="N44" s="4"/>
      <c r="O44" s="98">
        <v>1</v>
      </c>
      <c r="P44" s="94">
        <f t="shared" si="5"/>
        <v>0.125</v>
      </c>
      <c r="Q44" s="47">
        <f t="shared" si="18"/>
        <v>0.77829664360127038</v>
      </c>
      <c r="R44" s="47">
        <f t="shared" si="19"/>
        <v>0.75926773130308556</v>
      </c>
      <c r="S44" s="51"/>
      <c r="T44" s="138">
        <v>8.3175297485096111E-2</v>
      </c>
      <c r="U44" s="136">
        <f t="shared" si="20"/>
        <v>8.5909204700509473E-2</v>
      </c>
      <c r="W44" s="63">
        <f t="shared" si="6"/>
        <v>-851167.44810285827</v>
      </c>
      <c r="X44" s="63">
        <f t="shared" si="7"/>
        <v>517092.18455487624</v>
      </c>
      <c r="Y44" s="63">
        <f t="shared" si="8"/>
        <v>127675.11721542875</v>
      </c>
      <c r="Z44" s="63">
        <v>0</v>
      </c>
      <c r="AA44" s="63">
        <f t="shared" ca="1" si="9"/>
        <v>0</v>
      </c>
      <c r="AB44" s="64">
        <f t="shared" ca="1" si="10"/>
        <v>-206400.1463325533</v>
      </c>
      <c r="AC44" s="51"/>
      <c r="AD44" s="51">
        <f t="shared" si="0"/>
        <v>-830356.88589090446</v>
      </c>
      <c r="AE44" s="64">
        <f t="shared" si="11"/>
        <v>504449.57339771889</v>
      </c>
      <c r="AF44" s="64">
        <f t="shared" si="11"/>
        <v>124553.53288363568</v>
      </c>
      <c r="AG44" s="51">
        <f t="shared" si="1"/>
        <v>0</v>
      </c>
      <c r="AH44" s="64">
        <f t="shared" ca="1" si="12"/>
        <v>0</v>
      </c>
      <c r="AI44" s="64">
        <f t="shared" ca="1" si="13"/>
        <v>-201353.77960954991</v>
      </c>
      <c r="AJ44" s="57"/>
      <c r="AK44" s="51">
        <f ca="1">SUM(AD44:AD$47,AG44:AG$47)/D44+SUM(AE45:AF$48,AH45:AH$47)/D44</f>
        <v>-684105.27863542829</v>
      </c>
      <c r="AL44" s="51">
        <f>SUM(AE45:$AF$48)*$F$14/D44</f>
        <v>86093.892502500748</v>
      </c>
      <c r="AM44" s="19"/>
      <c r="AN44" s="51">
        <f ca="1">-SUM(AD44:$AD$48,AH44:$AH$48)/D44</f>
        <v>2405983.1286854432</v>
      </c>
      <c r="AO44" s="51">
        <f ca="1">-SUM(W44:$W$48,AA44:$AA$48)</f>
        <v>2417459.2296799887</v>
      </c>
      <c r="AP44" s="19"/>
      <c r="AQ44" s="127"/>
      <c r="AR44" s="19"/>
      <c r="AS44" s="19"/>
    </row>
    <row r="45" spans="1:63" outlineLevel="1" x14ac:dyDescent="0.55000000000000004">
      <c r="A45" s="9"/>
      <c r="B45" s="1" t="s">
        <v>17</v>
      </c>
      <c r="C45" s="3">
        <v>6</v>
      </c>
      <c r="D45" s="87">
        <f t="shared" si="2"/>
        <v>0.9707328852712489</v>
      </c>
      <c r="E45" s="4"/>
      <c r="F45" s="84">
        <f t="shared" si="3"/>
        <v>0.71554175279993271</v>
      </c>
      <c r="G45" s="84">
        <f t="shared" si="14"/>
        <v>0.73606752000123676</v>
      </c>
      <c r="H45" s="84">
        <f t="shared" si="15"/>
        <v>0.69459991022752543</v>
      </c>
      <c r="I45" s="4"/>
      <c r="J45" s="98">
        <v>1</v>
      </c>
      <c r="K45" s="94">
        <f t="shared" si="4"/>
        <v>0.125</v>
      </c>
      <c r="L45" s="47">
        <f t="shared" si="16"/>
        <v>0.73606752000123676</v>
      </c>
      <c r="M45" s="47">
        <f t="shared" si="17"/>
        <v>0.7145249474452533</v>
      </c>
      <c r="N45" s="4"/>
      <c r="O45" s="98">
        <v>1</v>
      </c>
      <c r="P45" s="94">
        <f t="shared" si="5"/>
        <v>0.125</v>
      </c>
      <c r="Q45" s="47">
        <f t="shared" si="18"/>
        <v>0.73606752000123676</v>
      </c>
      <c r="R45" s="47">
        <f t="shared" si="19"/>
        <v>0.7145249474452533</v>
      </c>
      <c r="S45" s="51"/>
      <c r="T45" s="138">
        <v>5.1890782453176132E-2</v>
      </c>
      <c r="U45" s="136">
        <f t="shared" si="20"/>
        <v>5.3596392037411206E-2</v>
      </c>
      <c r="W45" s="63">
        <f t="shared" si="6"/>
        <v>-804984.47189992433</v>
      </c>
      <c r="X45" s="63">
        <f t="shared" si="7"/>
        <v>490253.62546339212</v>
      </c>
      <c r="Y45" s="63">
        <f t="shared" si="8"/>
        <v>120747.67078498864</v>
      </c>
      <c r="Z45" s="63">
        <v>0</v>
      </c>
      <c r="AA45" s="63">
        <f t="shared" ca="1" si="9"/>
        <v>0</v>
      </c>
      <c r="AB45" s="64">
        <f t="shared" ca="1" si="10"/>
        <v>-193983.17565154357</v>
      </c>
      <c r="AC45" s="51"/>
      <c r="AD45" s="51">
        <f t="shared" si="0"/>
        <v>-781424.89900596614</v>
      </c>
      <c r="AE45" s="64">
        <f t="shared" si="11"/>
        <v>475905.31636076886</v>
      </c>
      <c r="AF45" s="64">
        <f t="shared" si="11"/>
        <v>117213.73485089492</v>
      </c>
      <c r="AG45" s="51">
        <f t="shared" si="1"/>
        <v>0</v>
      </c>
      <c r="AH45" s="64">
        <f t="shared" ca="1" si="12"/>
        <v>0</v>
      </c>
      <c r="AI45" s="64">
        <f t="shared" ca="1" si="13"/>
        <v>-188305.84779430236</v>
      </c>
      <c r="AJ45" s="57"/>
      <c r="AK45" s="51">
        <f ca="1">SUM(AD45:AD$47,AG45:AG$47)/D45+SUM(AE46:AF$48,AH46:AH$47)/D45</f>
        <v>-443110.00866541266</v>
      </c>
      <c r="AL45" s="51">
        <f>SUM(AE46:$AF$48)*$F$14/D45</f>
        <v>55971.105787442408</v>
      </c>
      <c r="AM45" s="19"/>
      <c r="AN45" s="51">
        <f ca="1">-SUM(AD45:$AD$48,AH45:$AH$48)/D45</f>
        <v>1562532.1244142607</v>
      </c>
      <c r="AO45" s="51">
        <f ca="1">-SUM(W45:$W$48,AA45:$AA$48)</f>
        <v>1566291.7815771305</v>
      </c>
      <c r="AP45" s="19"/>
      <c r="AQ45" s="19"/>
      <c r="AR45" s="19"/>
      <c r="AS45" s="19"/>
    </row>
    <row r="46" spans="1:63" outlineLevel="1" x14ac:dyDescent="0.55000000000000004">
      <c r="A46" s="9"/>
      <c r="B46" s="1" t="s">
        <v>18</v>
      </c>
      <c r="C46" s="3">
        <v>7</v>
      </c>
      <c r="D46" s="87">
        <f t="shared" si="2"/>
        <v>0.96593899612956868</v>
      </c>
      <c r="E46" s="4"/>
      <c r="F46" s="84">
        <f t="shared" si="3"/>
        <v>0.67671760860196106</v>
      </c>
      <c r="G46" s="84">
        <f t="shared" si="14"/>
        <v>0.69612968070094694</v>
      </c>
      <c r="H46" s="84">
        <f t="shared" si="15"/>
        <v>0.65366792751618064</v>
      </c>
      <c r="I46" s="4"/>
      <c r="J46" s="98">
        <v>1</v>
      </c>
      <c r="K46" s="94">
        <f t="shared" si="4"/>
        <v>0.125</v>
      </c>
      <c r="L46" s="47">
        <f t="shared" si="16"/>
        <v>0.69612968070094694</v>
      </c>
      <c r="M46" s="47">
        <f t="shared" si="17"/>
        <v>0.67241880495226991</v>
      </c>
      <c r="N46" s="4"/>
      <c r="O46" s="98">
        <v>1</v>
      </c>
      <c r="P46" s="94">
        <f t="shared" si="5"/>
        <v>0.125</v>
      </c>
      <c r="Q46" s="47">
        <f t="shared" si="18"/>
        <v>0.69612968070094694</v>
      </c>
      <c r="R46" s="47">
        <f t="shared" si="19"/>
        <v>0.67241880495226991</v>
      </c>
      <c r="S46" s="51"/>
      <c r="T46" s="138">
        <v>2.7830892374108518E-2</v>
      </c>
      <c r="U46" s="136">
        <f t="shared" si="20"/>
        <v>2.8745672119700673E-2</v>
      </c>
      <c r="W46" s="63">
        <f t="shared" si="6"/>
        <v>-761307.30967720621</v>
      </c>
      <c r="X46" s="63">
        <f t="shared" si="7"/>
        <v>464808.06413057121</v>
      </c>
      <c r="Y46" s="63">
        <f t="shared" si="8"/>
        <v>114196.09645158093</v>
      </c>
      <c r="Z46" s="63">
        <v>0</v>
      </c>
      <c r="AA46" s="63">
        <f t="shared" ca="1" si="9"/>
        <v>0</v>
      </c>
      <c r="AB46" s="64">
        <f t="shared" ca="1" si="10"/>
        <v>-182303.14909505408</v>
      </c>
      <c r="AC46" s="51"/>
      <c r="AD46" s="51">
        <f t="shared" si="0"/>
        <v>-735376.41845570318</v>
      </c>
      <c r="AE46" s="64">
        <f t="shared" si="11"/>
        <v>448976.23485921213</v>
      </c>
      <c r="AF46" s="64">
        <f t="shared" si="11"/>
        <v>110306.46276835549</v>
      </c>
      <c r="AG46" s="51">
        <f t="shared" si="1"/>
        <v>0</v>
      </c>
      <c r="AH46" s="64">
        <f t="shared" ca="1" si="12"/>
        <v>0</v>
      </c>
      <c r="AI46" s="64">
        <f t="shared" ca="1" si="13"/>
        <v>-176093.72082813556</v>
      </c>
      <c r="AJ46" s="57"/>
      <c r="AK46" s="51">
        <f ca="1">SUM(AD46:AD$47,AG46:AG$47)/D46+SUM(AE47:AF$48,AH47:AH$47)/D46</f>
        <v>-215333.73914851784</v>
      </c>
      <c r="AL46" s="51">
        <f>SUM(AE47:$AF$48)*$F$14/D46</f>
        <v>27298.678526434422</v>
      </c>
      <c r="AM46" s="19"/>
      <c r="AN46" s="51">
        <f ca="1">-SUM(AD46:$AD$48,AH46:$AH$48)/D46</f>
        <v>761307.30967720621</v>
      </c>
      <c r="AO46" s="51">
        <f ca="1">-SUM(W46:$W$48,AA46:$AA$48)</f>
        <v>761307.30967720621</v>
      </c>
      <c r="AP46" s="19"/>
      <c r="AQ46" s="19"/>
      <c r="AR46" s="19"/>
      <c r="AS46" s="19"/>
    </row>
    <row r="47" spans="1:63" outlineLevel="1" x14ac:dyDescent="0.55000000000000004">
      <c r="A47" s="9"/>
      <c r="B47" s="1" t="s">
        <v>19</v>
      </c>
      <c r="C47" s="3">
        <v>8</v>
      </c>
      <c r="D47" s="87">
        <f t="shared" si="2"/>
        <v>0.96116878123798488</v>
      </c>
      <c r="E47" s="4"/>
      <c r="F47" s="84">
        <f t="shared" si="3"/>
        <v>0.64000000000000012</v>
      </c>
      <c r="G47" s="84">
        <f t="shared" si="14"/>
        <v>0.65835880430098059</v>
      </c>
      <c r="H47" s="84">
        <f t="shared" si="15"/>
        <v>0.61514801999231039</v>
      </c>
      <c r="I47" s="4"/>
      <c r="J47" s="98">
        <v>1</v>
      </c>
      <c r="K47" s="94">
        <f t="shared" si="4"/>
        <v>0.125</v>
      </c>
      <c r="L47" s="47">
        <f t="shared" si="16"/>
        <v>0.65835880430098059</v>
      </c>
      <c r="M47" s="47">
        <f t="shared" si="17"/>
        <v>0.63279392954727054</v>
      </c>
      <c r="N47" s="4"/>
      <c r="O47" s="98">
        <v>1</v>
      </c>
      <c r="P47" s="94">
        <f t="shared" si="5"/>
        <v>0.125</v>
      </c>
      <c r="Q47" s="47">
        <f t="shared" si="18"/>
        <v>0.65835880430098059</v>
      </c>
      <c r="R47" s="47">
        <f t="shared" si="19"/>
        <v>0.63279392954727054</v>
      </c>
      <c r="S47" s="51"/>
      <c r="T47" s="138">
        <v>1.5225286106495761E-2</v>
      </c>
      <c r="U47" s="136">
        <f t="shared" si="20"/>
        <v>1.5725729396773625E-2</v>
      </c>
      <c r="W47" s="63">
        <f t="shared" si="6"/>
        <v>0</v>
      </c>
      <c r="X47" s="63">
        <f t="shared" si="7"/>
        <v>440683.20000000007</v>
      </c>
      <c r="Y47" s="63">
        <f t="shared" si="8"/>
        <v>108000.00000000001</v>
      </c>
      <c r="Z47" s="63">
        <v>0</v>
      </c>
      <c r="AA47" s="63">
        <f t="shared" ca="1" si="9"/>
        <v>0</v>
      </c>
      <c r="AB47" s="64">
        <f t="shared" ca="1" si="10"/>
        <v>548683.20000000007</v>
      </c>
      <c r="AC47" s="51"/>
      <c r="AD47" s="51">
        <f t="shared" si="0"/>
        <v>0</v>
      </c>
      <c r="AE47" s="64">
        <f t="shared" si="11"/>
        <v>423570.93425605522</v>
      </c>
      <c r="AF47" s="64">
        <f t="shared" si="11"/>
        <v>103806.22837370238</v>
      </c>
      <c r="AG47" s="51">
        <f t="shared" si="1"/>
        <v>0</v>
      </c>
      <c r="AH47" s="64">
        <f t="shared" ca="1" si="12"/>
        <v>0</v>
      </c>
      <c r="AI47" s="64">
        <f t="shared" ca="1" si="13"/>
        <v>527377.16262975754</v>
      </c>
      <c r="AJ47" s="57"/>
      <c r="AK47" s="51">
        <f ca="1">SUM(AD47:AD$47,AG47:AG$47)/D47+SUM(AE48:AF$48,AH$47:AH48)/D47</f>
        <v>0</v>
      </c>
      <c r="AL47" s="51">
        <f>SUM(AE48:$AF$48)*$F$14/D47</f>
        <v>0</v>
      </c>
      <c r="AM47" s="19"/>
      <c r="AN47" s="51">
        <f ca="1">-SUM(AD47:$AD$48,AH47:$AH$48)/D47</f>
        <v>0</v>
      </c>
      <c r="AO47" s="51">
        <f ca="1">-SUM(W47:$W$48,AA47:$AA$48)</f>
        <v>0</v>
      </c>
      <c r="AP47" s="19"/>
      <c r="AQ47" s="19"/>
      <c r="AR47" s="19"/>
      <c r="AS47" s="19"/>
    </row>
    <row r="48" spans="1:63" outlineLevel="1" x14ac:dyDescent="0.55000000000000004">
      <c r="B48" s="8"/>
      <c r="C48" s="6"/>
      <c r="D48" s="7"/>
      <c r="E48" s="2"/>
      <c r="F48" s="85"/>
      <c r="G48" s="85"/>
      <c r="H48" s="79"/>
      <c r="I48" s="2"/>
      <c r="J48" s="6"/>
      <c r="K48" s="6"/>
      <c r="L48" s="71"/>
      <c r="M48" s="90"/>
      <c r="N48" s="2"/>
      <c r="O48" s="12"/>
      <c r="P48" s="12"/>
      <c r="Q48" s="50"/>
      <c r="R48" s="90"/>
      <c r="S48" s="55"/>
      <c r="T48" s="137"/>
      <c r="U48" s="137"/>
      <c r="W48" s="66"/>
      <c r="X48" s="66"/>
      <c r="Y48" s="66"/>
      <c r="Z48" s="66"/>
      <c r="AA48" s="66"/>
      <c r="AB48" s="66"/>
      <c r="AC48" s="55"/>
      <c r="AD48" s="67"/>
      <c r="AE48" s="68"/>
      <c r="AF48" s="68"/>
      <c r="AG48" s="67"/>
      <c r="AH48" s="67"/>
      <c r="AI48" s="68"/>
      <c r="AJ48" s="57"/>
      <c r="AK48" s="67"/>
      <c r="AL48" s="67"/>
      <c r="AM48" s="19"/>
      <c r="AN48" s="122"/>
      <c r="AO48" s="122"/>
      <c r="AP48" s="19"/>
      <c r="AQ48" s="19"/>
      <c r="AR48" s="19"/>
      <c r="AS48" s="19"/>
    </row>
    <row r="49" spans="1:45" outlineLevel="1" x14ac:dyDescent="0.55000000000000004">
      <c r="A49" s="9"/>
      <c r="B49" s="4"/>
      <c r="C49" s="4"/>
      <c r="D49" s="4"/>
      <c r="E49" s="4"/>
      <c r="F49" s="3"/>
      <c r="G49" s="3"/>
      <c r="H49" s="4"/>
      <c r="I49" s="4"/>
      <c r="J49" s="4"/>
      <c r="K49" s="4"/>
      <c r="L49" s="51"/>
      <c r="M49" s="51"/>
      <c r="N49" s="4"/>
      <c r="O49" s="4"/>
      <c r="P49" s="4"/>
      <c r="Q49" s="51"/>
      <c r="R49" s="51"/>
      <c r="S49" s="51"/>
      <c r="T49" s="4"/>
      <c r="U49" s="4"/>
      <c r="W49" s="51"/>
      <c r="X49" s="51"/>
      <c r="Y49" s="51"/>
      <c r="Z49" s="51"/>
      <c r="AA49" s="51"/>
      <c r="AB49" s="51"/>
      <c r="AC49" s="51"/>
      <c r="AD49" s="51"/>
      <c r="AE49" s="51"/>
      <c r="AF49" s="51"/>
      <c r="AG49" s="51"/>
      <c r="AH49" s="51"/>
      <c r="AI49" s="51"/>
      <c r="AJ49" s="57"/>
      <c r="AK49" s="51"/>
      <c r="AL49" s="51"/>
      <c r="AM49" s="19"/>
      <c r="AN49" s="55"/>
      <c r="AO49" s="55"/>
      <c r="AP49" s="19"/>
      <c r="AQ49" s="19"/>
      <c r="AR49" s="19"/>
      <c r="AS49" s="19"/>
    </row>
    <row r="50" spans="1:45" outlineLevel="1" x14ac:dyDescent="0.55000000000000004">
      <c r="A50" s="9"/>
      <c r="B50" s="24"/>
      <c r="C50" s="24"/>
      <c r="D50" s="25"/>
      <c r="E50" s="4"/>
      <c r="F50" s="26"/>
      <c r="G50" s="26"/>
      <c r="H50" s="26"/>
      <c r="I50" s="4"/>
      <c r="J50" s="80">
        <f>SUM(J40:J47)</f>
        <v>8</v>
      </c>
      <c r="K50" s="95">
        <f>SUM(K40:K47)</f>
        <v>1</v>
      </c>
      <c r="L50" s="81">
        <f>SUM(L40:L47)</f>
        <v>6.4549184593599778</v>
      </c>
      <c r="M50" s="81">
        <f>SUM(M40:M47)</f>
        <v>6.3222373151389268</v>
      </c>
      <c r="N50" s="4"/>
      <c r="O50" s="80">
        <f>SUM(O40:O47)</f>
        <v>8</v>
      </c>
      <c r="P50" s="95">
        <f>SUM(P40:P47)</f>
        <v>1</v>
      </c>
      <c r="Q50" s="81">
        <f>SUM(Q40:Q47)</f>
        <v>6.4549184593599778</v>
      </c>
      <c r="R50" s="81">
        <f>SUM(R40:R47)</f>
        <v>6.3222373151389268</v>
      </c>
      <c r="S50" s="52"/>
      <c r="T50" s="80">
        <f>SUM(T40:T47)</f>
        <v>0.9681767835595253</v>
      </c>
      <c r="U50" s="95">
        <f>SUM(U40:U47)</f>
        <v>1</v>
      </c>
      <c r="W50" s="52">
        <f t="shared" ref="W50:AB50" si="21">SUM(W39:W47)</f>
        <v>-7464283.2667799741</v>
      </c>
      <c r="X50" s="52">
        <f t="shared" si="21"/>
        <v>4280209.69066968</v>
      </c>
      <c r="Y50" s="52">
        <f t="shared" si="21"/>
        <v>1058892.4900169962</v>
      </c>
      <c r="Z50" s="52">
        <f t="shared" si="21"/>
        <v>-900000</v>
      </c>
      <c r="AA50" s="52">
        <f t="shared" ca="1" si="21"/>
        <v>0</v>
      </c>
      <c r="AB50" s="52">
        <f t="shared" ca="1" si="21"/>
        <v>-3025181.0860932982</v>
      </c>
      <c r="AC50" s="51"/>
      <c r="AD50" s="52">
        <f t="shared" ref="AD50:AI50" si="22">SUM(AD39:AD47)</f>
        <v>-7347137.8538035769</v>
      </c>
      <c r="AE50" s="52">
        <f t="shared" si="22"/>
        <v>4191961.5886401297</v>
      </c>
      <c r="AF50" s="52">
        <f t="shared" si="22"/>
        <v>1037126.9064442388</v>
      </c>
      <c r="AG50" s="52">
        <f t="shared" si="22"/>
        <v>-900000</v>
      </c>
      <c r="AH50" s="52">
        <f t="shared" ca="1" si="22"/>
        <v>0</v>
      </c>
      <c r="AI50" s="52">
        <f t="shared" ca="1" si="22"/>
        <v>-3018049.3587192083</v>
      </c>
      <c r="AJ50" s="52"/>
      <c r="AK50" s="52"/>
      <c r="AL50" s="52"/>
      <c r="AM50" s="19"/>
      <c r="AN50" s="129"/>
      <c r="AO50" s="51"/>
    </row>
    <row r="51" spans="1:45" ht="15.3" x14ac:dyDescent="0.55000000000000004">
      <c r="A51" s="9"/>
      <c r="B51" s="24"/>
      <c r="C51" s="24"/>
      <c r="D51" s="4"/>
      <c r="E51" s="4"/>
      <c r="F51" s="4"/>
      <c r="G51" s="4"/>
      <c r="H51" s="4"/>
      <c r="I51" s="4"/>
      <c r="J51" s="24"/>
      <c r="K51" s="24"/>
      <c r="L51" s="52"/>
      <c r="M51" s="52"/>
      <c r="N51" s="4"/>
      <c r="O51" s="24"/>
      <c r="P51" s="24"/>
      <c r="Q51" s="52"/>
      <c r="R51" s="52"/>
      <c r="S51" s="51"/>
      <c r="W51" s="52"/>
      <c r="X51" s="72"/>
      <c r="Y51" s="72"/>
      <c r="Z51" s="52"/>
      <c r="AA51" s="52"/>
      <c r="AB51" s="52"/>
      <c r="AC51" s="51"/>
      <c r="AD51" s="52"/>
      <c r="AE51" s="73"/>
      <c r="AF51" s="73"/>
      <c r="AG51" s="52"/>
      <c r="AH51" s="52"/>
      <c r="AI51" s="52"/>
      <c r="AJ51" s="57"/>
      <c r="AK51" s="52"/>
      <c r="AL51" s="52"/>
      <c r="AM51" s="52"/>
      <c r="AN51" s="52"/>
      <c r="AO51" s="51"/>
    </row>
    <row r="52" spans="1:45" ht="15.3" x14ac:dyDescent="0.55000000000000004">
      <c r="A52" s="9"/>
      <c r="B52" s="24"/>
      <c r="C52" s="24"/>
      <c r="D52" s="4"/>
      <c r="E52" s="4"/>
      <c r="F52" s="4"/>
      <c r="G52" s="4"/>
      <c r="H52" s="4"/>
      <c r="I52" s="4"/>
      <c r="J52" s="24"/>
      <c r="K52" s="24"/>
      <c r="L52" s="52"/>
      <c r="M52" s="52"/>
      <c r="N52" s="4"/>
      <c r="O52" s="24"/>
      <c r="P52" s="24"/>
      <c r="Q52" s="52"/>
      <c r="R52" s="52"/>
      <c r="S52" s="51"/>
      <c r="W52" s="52"/>
      <c r="X52" s="72"/>
      <c r="Y52" s="72"/>
      <c r="Z52" s="52"/>
      <c r="AA52" s="52"/>
      <c r="AB52" s="52"/>
      <c r="AC52" s="51"/>
      <c r="AD52" s="52"/>
      <c r="AE52" s="73"/>
      <c r="AF52" s="73"/>
      <c r="AG52" s="52"/>
      <c r="AH52" s="52"/>
      <c r="AI52" s="52"/>
      <c r="AJ52" s="57"/>
      <c r="AK52" s="52"/>
      <c r="AL52" s="52"/>
      <c r="AM52" s="52"/>
      <c r="AN52" s="52"/>
      <c r="AO52" s="51"/>
    </row>
    <row r="53" spans="1:45" ht="18.3" x14ac:dyDescent="0.55000000000000004">
      <c r="A53" s="2"/>
      <c r="B53" s="144" t="s">
        <v>172</v>
      </c>
      <c r="C53" s="108"/>
      <c r="D53" s="109"/>
      <c r="H53" s="106"/>
      <c r="J53" s="2"/>
      <c r="K53" s="2"/>
      <c r="N53" s="2"/>
      <c r="O53" s="2"/>
      <c r="P53" s="2"/>
      <c r="Q53" s="2"/>
      <c r="S53" s="2"/>
      <c r="W53" s="55"/>
      <c r="X53" s="55"/>
      <c r="Y53" s="55"/>
      <c r="Z53" s="55"/>
      <c r="AA53" s="55"/>
      <c r="AB53" s="55"/>
      <c r="AC53" s="2"/>
      <c r="AD53" s="22"/>
      <c r="AE53" s="2"/>
      <c r="AF53" s="2"/>
      <c r="AG53" s="2"/>
      <c r="AH53" s="2"/>
      <c r="AI53" s="2"/>
      <c r="AJ53" s="21"/>
      <c r="AK53" s="2"/>
      <c r="AL53" s="2"/>
      <c r="AM53" s="2"/>
      <c r="AN53" s="55"/>
      <c r="AO53" s="55"/>
    </row>
    <row r="54" spans="1:45" outlineLevel="1" x14ac:dyDescent="0.55000000000000004">
      <c r="D54" s="2"/>
      <c r="E54" s="2"/>
      <c r="F54" s="2"/>
      <c r="G54" s="2"/>
      <c r="H54" s="2"/>
      <c r="I54" s="2"/>
      <c r="J54" s="2"/>
      <c r="K54" s="2"/>
      <c r="L54" s="2"/>
      <c r="M54" s="2"/>
      <c r="N54" s="2"/>
      <c r="O54" s="2"/>
      <c r="P54" s="2"/>
      <c r="Q54" s="2"/>
      <c r="R54" s="2"/>
      <c r="S54" s="2"/>
      <c r="W54" s="55"/>
      <c r="X54" s="55"/>
      <c r="Y54" s="55"/>
      <c r="Z54" s="55"/>
      <c r="AA54" s="114"/>
      <c r="AB54" s="115"/>
      <c r="AC54" s="2"/>
      <c r="AD54" s="2"/>
      <c r="AE54" s="2"/>
      <c r="AF54" s="2"/>
      <c r="AG54" s="2"/>
      <c r="AH54" s="2"/>
      <c r="AI54" s="2"/>
      <c r="AJ54" s="21"/>
      <c r="AK54" s="2"/>
      <c r="AL54" s="2"/>
      <c r="AM54" s="2"/>
      <c r="AN54" s="55"/>
      <c r="AO54" s="55"/>
    </row>
    <row r="55" spans="1:45" ht="19.899999999999999" customHeight="1" outlineLevel="1" x14ac:dyDescent="0.55000000000000004">
      <c r="B55" s="173" t="s">
        <v>68</v>
      </c>
      <c r="C55" s="173"/>
      <c r="D55" s="173"/>
      <c r="E55" s="2"/>
      <c r="F55" s="174" t="s">
        <v>129</v>
      </c>
      <c r="G55" s="174"/>
      <c r="H55" s="174"/>
      <c r="I55" s="2"/>
      <c r="J55" s="174" t="s">
        <v>70</v>
      </c>
      <c r="K55" s="174"/>
      <c r="L55" s="174"/>
      <c r="M55" s="174"/>
      <c r="N55" s="2"/>
      <c r="O55" s="174" t="s">
        <v>39</v>
      </c>
      <c r="P55" s="174"/>
      <c r="Q55" s="174"/>
      <c r="R55" s="174"/>
      <c r="S55" s="2"/>
      <c r="T55" s="170" t="s">
        <v>474</v>
      </c>
      <c r="U55" s="170"/>
      <c r="W55" s="172" t="s">
        <v>32</v>
      </c>
      <c r="X55" s="172"/>
      <c r="Y55" s="172"/>
      <c r="Z55" s="172"/>
      <c r="AA55" s="172"/>
      <c r="AB55" s="172"/>
      <c r="AC55" s="2"/>
      <c r="AD55" s="171" t="s">
        <v>33</v>
      </c>
      <c r="AE55" s="171"/>
      <c r="AF55" s="171"/>
      <c r="AG55" s="171"/>
      <c r="AH55" s="171"/>
      <c r="AI55" s="171"/>
      <c r="AJ55" s="21"/>
      <c r="AK55" s="171" t="s">
        <v>154</v>
      </c>
      <c r="AL55" s="171"/>
      <c r="AM55" s="51"/>
      <c r="AN55" s="172" t="s">
        <v>340</v>
      </c>
      <c r="AO55" s="172"/>
      <c r="AQ55" s="173" t="s">
        <v>147</v>
      </c>
      <c r="AR55" s="173"/>
      <c r="AS55" s="173"/>
    </row>
    <row r="56" spans="1:45" ht="30.6" customHeight="1" outlineLevel="1" x14ac:dyDescent="0.55000000000000004">
      <c r="B56" s="146" t="s">
        <v>149</v>
      </c>
      <c r="C56" s="146" t="s">
        <v>10</v>
      </c>
      <c r="D56" s="78" t="s">
        <v>126</v>
      </c>
      <c r="E56" s="13"/>
      <c r="F56" s="82" t="s">
        <v>129</v>
      </c>
      <c r="G56" s="82" t="s">
        <v>158</v>
      </c>
      <c r="H56" s="134" t="s">
        <v>2</v>
      </c>
      <c r="I56" s="2"/>
      <c r="J56" s="88" t="s">
        <v>127</v>
      </c>
      <c r="K56" s="88" t="s">
        <v>37</v>
      </c>
      <c r="L56" s="48" t="s">
        <v>131</v>
      </c>
      <c r="M56" s="134" t="s">
        <v>2</v>
      </c>
      <c r="N56" s="13"/>
      <c r="O56" s="91" t="s">
        <v>128</v>
      </c>
      <c r="P56" s="91" t="s">
        <v>37</v>
      </c>
      <c r="Q56" s="92" t="s">
        <v>132</v>
      </c>
      <c r="R56" s="134" t="s">
        <v>2</v>
      </c>
      <c r="S56" s="55"/>
      <c r="T56" s="91" t="s">
        <v>159</v>
      </c>
      <c r="U56" s="91" t="s">
        <v>37</v>
      </c>
      <c r="W56" s="53" t="s">
        <v>12</v>
      </c>
      <c r="X56" s="53" t="s">
        <v>35</v>
      </c>
      <c r="Y56" s="53" t="s">
        <v>36</v>
      </c>
      <c r="Z56" s="53" t="s">
        <v>42</v>
      </c>
      <c r="AA56" s="56" t="s">
        <v>121</v>
      </c>
      <c r="AB56" s="53" t="s">
        <v>1</v>
      </c>
      <c r="AC56" s="55"/>
      <c r="AD56" s="53" t="s">
        <v>12</v>
      </c>
      <c r="AE56" s="53" t="s">
        <v>35</v>
      </c>
      <c r="AF56" s="53" t="s">
        <v>36</v>
      </c>
      <c r="AG56" s="56" t="s">
        <v>42</v>
      </c>
      <c r="AH56" s="56" t="s">
        <v>121</v>
      </c>
      <c r="AI56" s="53" t="s">
        <v>1</v>
      </c>
      <c r="AJ56" s="57"/>
      <c r="AK56" s="58" t="s">
        <v>3</v>
      </c>
      <c r="AL56" s="58" t="s">
        <v>0</v>
      </c>
      <c r="AM56" s="51"/>
      <c r="AN56" s="76" t="s">
        <v>46</v>
      </c>
      <c r="AO56" s="76" t="s">
        <v>150</v>
      </c>
      <c r="AQ56" s="58" t="s">
        <v>3</v>
      </c>
      <c r="AR56" s="58" t="s">
        <v>0</v>
      </c>
      <c r="AS56" s="58" t="s">
        <v>12</v>
      </c>
    </row>
    <row r="57" spans="1:45" s="19" customFormat="1" outlineLevel="1" x14ac:dyDescent="0.55000000000000004">
      <c r="B57" s="15" t="s">
        <v>211</v>
      </c>
      <c r="C57" s="15" t="s">
        <v>212</v>
      </c>
      <c r="D57" s="16" t="s">
        <v>213</v>
      </c>
      <c r="E57" s="20"/>
      <c r="F57" s="83" t="s">
        <v>214</v>
      </c>
      <c r="G57" s="83" t="s">
        <v>215</v>
      </c>
      <c r="H57" s="18" t="s">
        <v>216</v>
      </c>
      <c r="I57" s="23"/>
      <c r="J57" s="18" t="s">
        <v>217</v>
      </c>
      <c r="K57" s="18" t="s">
        <v>218</v>
      </c>
      <c r="L57" s="18" t="s">
        <v>219</v>
      </c>
      <c r="M57" s="17" t="s">
        <v>220</v>
      </c>
      <c r="N57" s="20"/>
      <c r="O57" s="17" t="s">
        <v>221</v>
      </c>
      <c r="P57" s="17" t="s">
        <v>222</v>
      </c>
      <c r="Q57" s="17" t="s">
        <v>223</v>
      </c>
      <c r="R57" s="143" t="s">
        <v>224</v>
      </c>
      <c r="S57" s="61"/>
      <c r="T57" s="17" t="s">
        <v>225</v>
      </c>
      <c r="U57" s="17" t="s">
        <v>226</v>
      </c>
      <c r="W57" s="60" t="s">
        <v>227</v>
      </c>
      <c r="X57" s="60" t="s">
        <v>228</v>
      </c>
      <c r="Y57" s="60" t="s">
        <v>229</v>
      </c>
      <c r="Z57" s="60" t="s">
        <v>230</v>
      </c>
      <c r="AA57" s="60" t="s">
        <v>231</v>
      </c>
      <c r="AB57" s="60" t="s">
        <v>232</v>
      </c>
      <c r="AC57" s="61"/>
      <c r="AD57" s="60" t="s">
        <v>233</v>
      </c>
      <c r="AE57" s="60" t="s">
        <v>234</v>
      </c>
      <c r="AF57" s="60" t="s">
        <v>235</v>
      </c>
      <c r="AG57" s="60" t="s">
        <v>236</v>
      </c>
      <c r="AH57" s="60" t="s">
        <v>237</v>
      </c>
      <c r="AI57" s="60" t="s">
        <v>238</v>
      </c>
      <c r="AJ57" s="62"/>
      <c r="AK57" s="60" t="s">
        <v>239</v>
      </c>
      <c r="AL57" s="60" t="s">
        <v>240</v>
      </c>
      <c r="AN57" s="60" t="s">
        <v>241</v>
      </c>
      <c r="AO57" s="60" t="s">
        <v>242</v>
      </c>
      <c r="AQ57" s="60" t="s">
        <v>243</v>
      </c>
      <c r="AR57" s="60" t="s">
        <v>244</v>
      </c>
      <c r="AS57" s="60" t="s">
        <v>245</v>
      </c>
    </row>
    <row r="58" spans="1:45" outlineLevel="1" x14ac:dyDescent="0.55000000000000004">
      <c r="B58" s="1"/>
      <c r="C58" s="3">
        <v>0</v>
      </c>
      <c r="D58" s="87">
        <v>1</v>
      </c>
      <c r="E58" s="2"/>
      <c r="F58" s="84">
        <v>1</v>
      </c>
      <c r="G58" s="84"/>
      <c r="H58" s="5"/>
      <c r="I58" s="2"/>
      <c r="J58" s="2"/>
      <c r="K58" s="2"/>
      <c r="L58" s="55"/>
      <c r="M58" s="55"/>
      <c r="N58" s="2"/>
      <c r="O58" s="10"/>
      <c r="P58" s="10"/>
      <c r="Q58" s="49"/>
      <c r="R58" s="55"/>
      <c r="S58" s="55"/>
      <c r="T58" s="2"/>
      <c r="U58" s="2"/>
      <c r="W58" s="63">
        <f t="shared" ref="W58:W66" si="23">IFERROR(IF(C58&gt;=$F$7*4,0,-IF($F$22="pattern",U59*$F$21,IF(AND($F$22="single",C58=0),$F$21,IF(AND($F$22="annual",MOD(C58,4)=0),$F$21/$F$7,IF(AND($F$22="semi-ann",MOD(C58,2)=0),$F$21/(2*$F$7),IF($F$22="quarterly",$F$21/(4*$F$7),0)))))*F58),0)</f>
        <v>-1125000</v>
      </c>
      <c r="X58" s="63"/>
      <c r="Y58" s="63"/>
      <c r="Z58" s="63">
        <f>-$F$13*$F$21</f>
        <v>-900000</v>
      </c>
      <c r="AA58" s="63"/>
      <c r="AB58" s="64">
        <f>SUM(W58:AA58)</f>
        <v>-2025000</v>
      </c>
      <c r="AC58" s="55"/>
      <c r="AD58" s="64">
        <f t="shared" ref="AD58:AD66" si="24">W58*$D58</f>
        <v>-1125000</v>
      </c>
      <c r="AE58" s="64"/>
      <c r="AF58" s="64"/>
      <c r="AG58" s="64">
        <f t="shared" ref="AG58:AG66" si="25">Z58*$D58</f>
        <v>-900000</v>
      </c>
      <c r="AH58" s="64"/>
      <c r="AI58" s="64">
        <f>SUM(AD58:AH58)</f>
        <v>-2025000</v>
      </c>
      <c r="AJ58" s="57"/>
      <c r="AK58" s="51">
        <f ca="1">SUM(AD58:AD$66,AG58:AG$66)/D58+SUM(AE59:AF$67,AH59:AH$66)/D58</f>
        <v>-425840.31249520928</v>
      </c>
      <c r="AL58" s="51">
        <f>SUM(AE59:$AF$67)*$G$14/D58</f>
        <v>251479.0541231212</v>
      </c>
      <c r="AM58" s="51"/>
      <c r="AN58" s="51">
        <f ca="1">-SUM(AD58:$AD$67,AH58:$AH$67)/D58</f>
        <v>7908475.4499325827</v>
      </c>
      <c r="AO58" s="51">
        <f ca="1">-SUM(W58:$W$67,AA58:$AA$67)</f>
        <v>8041616.0196849545</v>
      </c>
      <c r="AQ58" s="9">
        <f t="shared" ref="AQ58:AQ66" ca="1" si="26">AK58-AK39</f>
        <v>2592209.046223999</v>
      </c>
      <c r="AR58" s="9">
        <f t="shared" ref="AR58:AR66" si="27">AL58-AL39</f>
        <v>-9975.3706310972339</v>
      </c>
      <c r="AS58" s="9">
        <f t="shared" ref="AS58:AS66" ca="1" si="28">IF($F$27="yes",AN58-AN39,AO58-AO39)</f>
        <v>561337.59612900577</v>
      </c>
    </row>
    <row r="59" spans="1:45" outlineLevel="1" x14ac:dyDescent="0.55000000000000004">
      <c r="A59" s="9"/>
      <c r="B59" s="1" t="s">
        <v>6</v>
      </c>
      <c r="C59" s="3">
        <v>1</v>
      </c>
      <c r="D59" s="87">
        <f>D58/(1+$F$17)^(1/4)</f>
        <v>0.99506157747984325</v>
      </c>
      <c r="E59" s="4"/>
      <c r="F59" s="84">
        <f t="shared" ref="F59:F66" si="29">(1-IF(C59&lt;$F$8,$F$19,$G$19))^(C59/4)</f>
        <v>0.94574160900317583</v>
      </c>
      <c r="G59" s="84">
        <f>AVERAGE(F58:F59)</f>
        <v>0.97287080450158792</v>
      </c>
      <c r="H59" s="154">
        <f>F59*D59</f>
        <v>0.94107113734302528</v>
      </c>
      <c r="I59" s="4"/>
      <c r="J59" s="98">
        <v>1</v>
      </c>
      <c r="K59" s="94">
        <f t="shared" ref="K59:K66" si="30">J59/$J$69</f>
        <v>0.125</v>
      </c>
      <c r="L59" s="47">
        <f>J59*G59</f>
        <v>0.97287080450158792</v>
      </c>
      <c r="M59" s="47">
        <f>L59*D59</f>
        <v>0.96806635741143421</v>
      </c>
      <c r="N59" s="4"/>
      <c r="O59" s="98">
        <v>1</v>
      </c>
      <c r="P59" s="94">
        <f t="shared" ref="P59:P66" si="31">O59/$O$69</f>
        <v>0.125</v>
      </c>
      <c r="Q59" s="155">
        <f>O59*G59</f>
        <v>0.97287080450158792</v>
      </c>
      <c r="R59" s="155">
        <f>Q59*D59</f>
        <v>0.96806635741143421</v>
      </c>
      <c r="S59" s="51"/>
      <c r="T59" s="138">
        <v>0.20282873599525819</v>
      </c>
      <c r="U59" s="136">
        <f>T59/$T$69</f>
        <v>0.20949555849661408</v>
      </c>
      <c r="W59" s="63">
        <f t="shared" si="23"/>
        <v>-1063959.3101285729</v>
      </c>
      <c r="X59" s="63">
        <f>$F$21*IF(C59&lt;$F$8,$F$11,$G$11)*P59*((1+$F$18)^(MIN($F$8-1,C59)/4))*((1+$G$18)^(MAX(0,C59-$F$8+1)/4))*F59</f>
        <v>639965.57494415354</v>
      </c>
      <c r="Y59" s="63">
        <f>$F$21*IF(C59&lt;$F$8,$F$12,$G$12)*IF($F$28="risk",P59*F59,IF($F$28="policies IF",F59/($F$7*4),1/($F$7*4)))</f>
        <v>159593.89651928592</v>
      </c>
      <c r="Z59" s="63">
        <v>0</v>
      </c>
      <c r="AA59" s="63">
        <f t="shared" ref="AA59:AA66" ca="1" si="32">IF($F$25="no",0,1)*(F59-F58)*OFFSET(W59,-IF($F$22="single",C59,IF($F$22="annual",MOD(C59,4),IF($F$22="semi-ann",MOD(C59,2),0))),0)*IF($F$22="single",($F$7*4-C59)/($F$7*4),IF(AND($F$22="annual",MOD(C59,4)&lt;&gt;0),(4-MOD(C59,4))/4,IF(AND($F$22="semi-ann",MOD(C59,2)&lt;&gt;0),0.5,0)))</f>
        <v>0</v>
      </c>
      <c r="AB59" s="64">
        <f t="shared" ref="AB59:AB66" ca="1" si="33">SUM(W59:AA59)</f>
        <v>-264399.8386651334</v>
      </c>
      <c r="AC59" s="51"/>
      <c r="AD59" s="51">
        <f t="shared" si="24"/>
        <v>-1058705.0295109034</v>
      </c>
      <c r="AE59" s="64">
        <f t="shared" ref="AE59:AF66" si="34">X59*$D59</f>
        <v>636805.15453672432</v>
      </c>
      <c r="AF59" s="64">
        <f t="shared" si="34"/>
        <v>158805.75442663551</v>
      </c>
      <c r="AG59" s="51">
        <f t="shared" si="25"/>
        <v>0</v>
      </c>
      <c r="AH59" s="64">
        <f t="shared" ref="AH59:AH66" ca="1" si="35">AA59*$D59</f>
        <v>0</v>
      </c>
      <c r="AI59" s="64">
        <f t="shared" ref="AI59:AI66" ca="1" si="36">SUM(AD59:AH59)</f>
        <v>-263094.12054754357</v>
      </c>
      <c r="AJ59" s="57"/>
      <c r="AK59" s="51">
        <f ca="1">SUM(AD59:AD$66,AG59:AG$66)/D59+SUM(AE60:AF$67,AH60:AH$66)/D59</f>
        <v>807536.73614506517</v>
      </c>
      <c r="AL59" s="51">
        <f>SUM(AE60:$AF$67)*$G$14/D59</f>
        <v>228740.34331692514</v>
      </c>
      <c r="AM59" s="51"/>
      <c r="AN59" s="51">
        <f ca="1">-SUM(AD59:$AD$67,AH59:$AH$67)/D59</f>
        <v>6817141.3744191062</v>
      </c>
      <c r="AO59" s="51">
        <f ca="1">-SUM(W59:$W$67,AA59:$AA$67)</f>
        <v>6916616.0196849545</v>
      </c>
      <c r="AQ59" s="9">
        <f t="shared" ca="1" si="26"/>
        <v>2605074.0023438502</v>
      </c>
      <c r="AR59" s="9">
        <f t="shared" si="27"/>
        <v>5966.311716312106</v>
      </c>
      <c r="AS59" s="9">
        <f t="shared" ca="1" si="28"/>
        <v>564123.47620806098</v>
      </c>
    </row>
    <row r="60" spans="1:45" outlineLevel="1" x14ac:dyDescent="0.55000000000000004">
      <c r="A60" s="9"/>
      <c r="B60" s="1" t="s">
        <v>7</v>
      </c>
      <c r="C60" s="3">
        <v>2</v>
      </c>
      <c r="D60" s="87">
        <f t="shared" ref="D60:D66" si="37">D59/(1+$F$17)^(1/4)</f>
        <v>0.99014754297667418</v>
      </c>
      <c r="E60" s="4"/>
      <c r="F60" s="84">
        <f t="shared" si="29"/>
        <v>0.89442719099991586</v>
      </c>
      <c r="G60" s="84">
        <f t="shared" ref="G60:G66" si="38">AVERAGE(F59:F60)</f>
        <v>0.92008440000154579</v>
      </c>
      <c r="H60" s="154">
        <f t="shared" ref="H60:H66" si="39">F60*D60</f>
        <v>0.88561488554009515</v>
      </c>
      <c r="I60" s="4"/>
      <c r="J60" s="98">
        <v>1</v>
      </c>
      <c r="K60" s="94">
        <f t="shared" si="30"/>
        <v>0.125</v>
      </c>
      <c r="L60" s="47">
        <f t="shared" ref="L60:L66" si="40">J60*G60</f>
        <v>0.92008440000154579</v>
      </c>
      <c r="M60" s="47">
        <f t="shared" ref="M60:M66" si="41">L60*D60</f>
        <v>0.91101930799269804</v>
      </c>
      <c r="N60" s="4"/>
      <c r="O60" s="98">
        <v>1</v>
      </c>
      <c r="P60" s="94">
        <f t="shared" si="31"/>
        <v>0.125</v>
      </c>
      <c r="Q60" s="155">
        <f t="shared" ref="Q60:Q66" si="42">O60*G60</f>
        <v>0.92008440000154579</v>
      </c>
      <c r="R60" s="155">
        <f t="shared" ref="R60:R66" si="43">Q60*D60</f>
        <v>0.91101930799269804</v>
      </c>
      <c r="S60" s="51"/>
      <c r="T60" s="138">
        <v>0.17818906429460918</v>
      </c>
      <c r="U60" s="136">
        <f t="shared" ref="U60:U66" si="44">T60/$T$69</f>
        <v>0.18404599998720564</v>
      </c>
      <c r="W60" s="63">
        <f t="shared" si="23"/>
        <v>-1006230.5898749053</v>
      </c>
      <c r="X60" s="63">
        <f t="shared" ref="X60:X66" si="45">$F$21*IF(C60&lt;$F$8,$F$11,$G$11)*P60*((1+$F$18)^(MIN($F$8-1,C60)/4))*((1+$G$18)^(MAX(0,C60-$F$8+1)/4))*F60</f>
        <v>606749.53646459419</v>
      </c>
      <c r="Y60" s="63">
        <f t="shared" ref="Y60:Y66" si="46">$F$21*IF(C60&lt;$F$8,$F$12,$G$12)*IF($F$28="risk",P60*F60,IF($F$28="policies IF",F60/($F$7*4),1/($F$7*4)))</f>
        <v>150934.58848123581</v>
      </c>
      <c r="Z60" s="63">
        <v>0</v>
      </c>
      <c r="AA60" s="63">
        <f t="shared" ca="1" si="32"/>
        <v>0</v>
      </c>
      <c r="AB60" s="64">
        <f t="shared" ca="1" si="33"/>
        <v>-248546.4649290753</v>
      </c>
      <c r="AC60" s="51"/>
      <c r="AD60" s="51">
        <f t="shared" si="24"/>
        <v>-996316.74623260705</v>
      </c>
      <c r="AE60" s="64">
        <f t="shared" si="34"/>
        <v>600771.56273265393</v>
      </c>
      <c r="AF60" s="64">
        <f t="shared" si="34"/>
        <v>149447.51193489108</v>
      </c>
      <c r="AG60" s="51">
        <f t="shared" si="25"/>
        <v>0</v>
      </c>
      <c r="AH60" s="64">
        <f t="shared" ca="1" si="35"/>
        <v>0</v>
      </c>
      <c r="AI60" s="64">
        <f t="shared" ca="1" si="36"/>
        <v>-246097.67156506205</v>
      </c>
      <c r="AJ60" s="57"/>
      <c r="AK60" s="51">
        <f ca="1">SUM(AD60:AD$66,AG60:AG$66)/D60+SUM(AE61:AF$67,AH61:AH$66)/D60</f>
        <v>1123100.0281449854</v>
      </c>
      <c r="AL60" s="51">
        <f>SUM(AE61:$AF$67)*$G$14/D60</f>
        <v>207145.04224046326</v>
      </c>
      <c r="AM60" s="51"/>
      <c r="AN60" s="51">
        <f ca="1">-SUM(AD60:$AD$67,AH60:$AH$67)/D60</f>
        <v>5781734.7132037906</v>
      </c>
      <c r="AO60" s="51">
        <f ca="1">-SUM(W60:$W$67,AA60:$AA$67)</f>
        <v>5852656.7095563821</v>
      </c>
      <c r="AQ60" s="9">
        <f t="shared" ca="1" si="26"/>
        <v>2618002.8063606145</v>
      </c>
      <c r="AR60" s="9">
        <f t="shared" si="27"/>
        <v>21149.604612021154</v>
      </c>
      <c r="AS60" s="9">
        <f t="shared" ca="1" si="28"/>
        <v>566923.18241931964</v>
      </c>
    </row>
    <row r="61" spans="1:45" outlineLevel="1" x14ac:dyDescent="0.55000000000000004">
      <c r="A61" s="9"/>
      <c r="B61" s="1" t="s">
        <v>8</v>
      </c>
      <c r="C61" s="3">
        <v>3</v>
      </c>
      <c r="D61" s="87">
        <f t="shared" si="37"/>
        <v>0.98525777605216036</v>
      </c>
      <c r="E61" s="4"/>
      <c r="F61" s="84">
        <f t="shared" si="29"/>
        <v>0.84589701075245127</v>
      </c>
      <c r="G61" s="84">
        <f t="shared" si="38"/>
        <v>0.87016210087618351</v>
      </c>
      <c r="H61" s="154">
        <f t="shared" si="39"/>
        <v>0.83342660758313047</v>
      </c>
      <c r="I61" s="4"/>
      <c r="J61" s="98">
        <v>1</v>
      </c>
      <c r="K61" s="94">
        <f t="shared" si="30"/>
        <v>0.125</v>
      </c>
      <c r="L61" s="47">
        <f t="shared" si="40"/>
        <v>0.87016210087618351</v>
      </c>
      <c r="M61" s="47">
        <f t="shared" si="41"/>
        <v>0.85733397631414421</v>
      </c>
      <c r="N61" s="4"/>
      <c r="O61" s="98">
        <v>1</v>
      </c>
      <c r="P61" s="94">
        <f t="shared" si="31"/>
        <v>0.125</v>
      </c>
      <c r="Q61" s="155">
        <f t="shared" si="42"/>
        <v>0.87016210087618351</v>
      </c>
      <c r="R61" s="155">
        <f t="shared" si="43"/>
        <v>0.85733397631414421</v>
      </c>
      <c r="S61" s="51"/>
      <c r="T61" s="138">
        <v>0.20194032380116383</v>
      </c>
      <c r="U61" s="136">
        <f t="shared" si="44"/>
        <v>0.20857794488597978</v>
      </c>
      <c r="W61" s="63">
        <f t="shared" si="23"/>
        <v>-951634.13709650771</v>
      </c>
      <c r="X61" s="63">
        <f t="shared" si="45"/>
        <v>575257.50511209294</v>
      </c>
      <c r="Y61" s="63">
        <f t="shared" si="46"/>
        <v>142745.12056447615</v>
      </c>
      <c r="Z61" s="63">
        <v>0</v>
      </c>
      <c r="AA61" s="63">
        <f t="shared" ca="1" si="32"/>
        <v>0</v>
      </c>
      <c r="AB61" s="64">
        <f t="shared" ca="1" si="33"/>
        <v>-233631.51141993862</v>
      </c>
      <c r="AC61" s="51"/>
      <c r="AD61" s="51">
        <f t="shared" si="24"/>
        <v>-937604.93353102182</v>
      </c>
      <c r="AE61" s="64">
        <f t="shared" si="34"/>
        <v>566776.93014405493</v>
      </c>
      <c r="AF61" s="64">
        <f t="shared" si="34"/>
        <v>140640.74002965327</v>
      </c>
      <c r="AG61" s="51">
        <f t="shared" si="25"/>
        <v>0</v>
      </c>
      <c r="AH61" s="64">
        <f t="shared" ca="1" si="35"/>
        <v>0</v>
      </c>
      <c r="AI61" s="64">
        <f t="shared" ca="1" si="36"/>
        <v>-230187.26335731361</v>
      </c>
      <c r="AJ61" s="57"/>
      <c r="AK61" s="51">
        <f ca="1">SUM(AD61:AD$66,AG61:AG$66)/D61+SUM(AE62:AF$67,AH62:AH$66)/D61</f>
        <v>1421895.7144972822</v>
      </c>
      <c r="AL61" s="51">
        <f>SUM(AE62:$AF$67)*$G$14/D61</f>
        <v>186633.01014053402</v>
      </c>
      <c r="AM61" s="51"/>
      <c r="AN61" s="51">
        <f ca="1">-SUM(AD61:$AD$67,AH61:$AH$67)/D61</f>
        <v>4799204.6235205187</v>
      </c>
      <c r="AO61" s="51">
        <f ca="1">-SUM(W61:$W$67,AA61:$AA$67)</f>
        <v>4846426.1196814766</v>
      </c>
      <c r="AQ61" s="9">
        <f t="shared" ca="1" si="26"/>
        <v>2630995.775147038</v>
      </c>
      <c r="AR61" s="9">
        <f t="shared" si="27"/>
        <v>35614.621166042314</v>
      </c>
      <c r="AS61" s="9">
        <f t="shared" ca="1" si="28"/>
        <v>569736.78338092938</v>
      </c>
    </row>
    <row r="62" spans="1:45" outlineLevel="1" x14ac:dyDescent="0.55000000000000004">
      <c r="A62" s="9"/>
      <c r="B62" s="1" t="s">
        <v>9</v>
      </c>
      <c r="C62" s="3">
        <v>4</v>
      </c>
      <c r="D62" s="87">
        <f t="shared" si="37"/>
        <v>0.98039215686274483</v>
      </c>
      <c r="E62" s="4"/>
      <c r="F62" s="84">
        <f t="shared" si="29"/>
        <v>0.9</v>
      </c>
      <c r="G62" s="84">
        <f t="shared" si="38"/>
        <v>0.87294850537622559</v>
      </c>
      <c r="H62" s="154">
        <f t="shared" si="39"/>
        <v>0.88235294117647034</v>
      </c>
      <c r="I62" s="4"/>
      <c r="J62" s="98">
        <v>1</v>
      </c>
      <c r="K62" s="94">
        <f t="shared" si="30"/>
        <v>0.125</v>
      </c>
      <c r="L62" s="47">
        <f t="shared" si="40"/>
        <v>0.87294850537622559</v>
      </c>
      <c r="M62" s="47">
        <f t="shared" si="41"/>
        <v>0.85583186801590716</v>
      </c>
      <c r="N62" s="4"/>
      <c r="O62" s="98">
        <v>1</v>
      </c>
      <c r="P62" s="94">
        <f t="shared" si="31"/>
        <v>0.125</v>
      </c>
      <c r="Q62" s="155">
        <f t="shared" si="42"/>
        <v>0.87294850537622559</v>
      </c>
      <c r="R62" s="155">
        <f t="shared" si="43"/>
        <v>0.85583186801590716</v>
      </c>
      <c r="S62" s="51"/>
      <c r="T62" s="138">
        <v>0.20709640104961757</v>
      </c>
      <c r="U62" s="136">
        <f t="shared" si="44"/>
        <v>0.21390349837580555</v>
      </c>
      <c r="W62" s="63">
        <f t="shared" si="23"/>
        <v>-1012500</v>
      </c>
      <c r="X62" s="63">
        <f t="shared" si="45"/>
        <v>1225628.4223685423</v>
      </c>
      <c r="Y62" s="63">
        <f t="shared" si="46"/>
        <v>101250</v>
      </c>
      <c r="Z62" s="63">
        <v>0</v>
      </c>
      <c r="AA62" s="63">
        <f t="shared" ca="1" si="32"/>
        <v>0</v>
      </c>
      <c r="AB62" s="64">
        <f t="shared" ca="1" si="33"/>
        <v>314378.42236854229</v>
      </c>
      <c r="AC62" s="51"/>
      <c r="AD62" s="51">
        <f t="shared" si="24"/>
        <v>-992647.05882352917</v>
      </c>
      <c r="AE62" s="64">
        <f t="shared" si="34"/>
        <v>1201596.4925181784</v>
      </c>
      <c r="AF62" s="64">
        <f t="shared" si="34"/>
        <v>99264.705882352908</v>
      </c>
      <c r="AG62" s="51">
        <f t="shared" si="25"/>
        <v>0</v>
      </c>
      <c r="AH62" s="64">
        <f t="shared" ca="1" si="35"/>
        <v>0</v>
      </c>
      <c r="AI62" s="64">
        <f t="shared" ca="1" si="36"/>
        <v>308214.13957700215</v>
      </c>
      <c r="AJ62" s="57"/>
      <c r="AK62" s="51">
        <f ca="1">SUM(AD62:AD$66,AG62:AG$66)/D62+SUM(AE63:AF$67,AH63:AH$66)/D62</f>
        <v>1058431.0954656629</v>
      </c>
      <c r="AL62" s="51">
        <f>SUM(AE63:$AF$67)*$G$14/D62</f>
        <v>147752.90432810629</v>
      </c>
      <c r="AM62" s="51"/>
      <c r="AN62" s="51">
        <f ca="1">-SUM(AD62:$AD$67,AH62:$AH$67)/D62</f>
        <v>3866665.7154712128</v>
      </c>
      <c r="AO62" s="51">
        <f ca="1">-SUM(W62:$W$67,AA62:$AA$67)</f>
        <v>3894791.9825849691</v>
      </c>
      <c r="AQ62" s="9">
        <f t="shared" ca="1" si="26"/>
        <v>1997574.804779938</v>
      </c>
      <c r="AR62" s="9">
        <f t="shared" si="27"/>
        <v>30005.021422838749</v>
      </c>
      <c r="AS62" s="9">
        <f t="shared" ca="1" si="28"/>
        <v>572564.34805158665</v>
      </c>
    </row>
    <row r="63" spans="1:45" outlineLevel="1" x14ac:dyDescent="0.55000000000000004">
      <c r="A63" s="9"/>
      <c r="B63" s="1" t="s">
        <v>16</v>
      </c>
      <c r="C63" s="3">
        <v>5</v>
      </c>
      <c r="D63" s="87">
        <f t="shared" si="37"/>
        <v>0.97555056615670888</v>
      </c>
      <c r="E63" s="4"/>
      <c r="F63" s="84">
        <f t="shared" si="29"/>
        <v>0.87660337178276715</v>
      </c>
      <c r="G63" s="84">
        <f t="shared" si="38"/>
        <v>0.88830168589138359</v>
      </c>
      <c r="H63" s="154">
        <f t="shared" si="39"/>
        <v>0.85517091563755843</v>
      </c>
      <c r="I63" s="4"/>
      <c r="J63" s="98">
        <v>1</v>
      </c>
      <c r="K63" s="94">
        <f t="shared" si="30"/>
        <v>0.125</v>
      </c>
      <c r="L63" s="47">
        <f t="shared" si="40"/>
        <v>0.88830168589138359</v>
      </c>
      <c r="M63" s="47">
        <f t="shared" si="41"/>
        <v>0.86658321258929827</v>
      </c>
      <c r="N63" s="4"/>
      <c r="O63" s="98">
        <v>1</v>
      </c>
      <c r="P63" s="94">
        <f t="shared" si="31"/>
        <v>0.125</v>
      </c>
      <c r="Q63" s="155">
        <f t="shared" si="42"/>
        <v>0.88830168589138359</v>
      </c>
      <c r="R63" s="155">
        <f t="shared" si="43"/>
        <v>0.86658321258929827</v>
      </c>
      <c r="S63" s="51"/>
      <c r="T63" s="138">
        <v>8.3175297485096111E-2</v>
      </c>
      <c r="U63" s="136">
        <f t="shared" si="44"/>
        <v>8.5909204700509473E-2</v>
      </c>
      <c r="W63" s="63">
        <f t="shared" si="23"/>
        <v>-986178.79325561307</v>
      </c>
      <c r="X63" s="63">
        <f t="shared" si="45"/>
        <v>1195256.0936980993</v>
      </c>
      <c r="Y63" s="63">
        <f t="shared" si="46"/>
        <v>98617.879325561298</v>
      </c>
      <c r="Z63" s="63">
        <v>0</v>
      </c>
      <c r="AA63" s="63">
        <f t="shared" ca="1" si="32"/>
        <v>0</v>
      </c>
      <c r="AB63" s="64">
        <f t="shared" ca="1" si="33"/>
        <v>307695.17976804747</v>
      </c>
      <c r="AC63" s="51"/>
      <c r="AD63" s="51">
        <f t="shared" si="24"/>
        <v>-962067.28009225323</v>
      </c>
      <c r="AE63" s="64">
        <f t="shared" si="34"/>
        <v>1166032.7589094371</v>
      </c>
      <c r="AF63" s="64">
        <f t="shared" si="34"/>
        <v>96206.72800922532</v>
      </c>
      <c r="AG63" s="51">
        <f t="shared" si="25"/>
        <v>0</v>
      </c>
      <c r="AH63" s="64">
        <f t="shared" ca="1" si="35"/>
        <v>0</v>
      </c>
      <c r="AI63" s="64">
        <f t="shared" ca="1" si="36"/>
        <v>300172.20682640921</v>
      </c>
      <c r="AJ63" s="57"/>
      <c r="AK63" s="51">
        <f ca="1">SUM(AD63:AD$66,AG63:AG$66)/D63+SUM(AE64:AF$67,AH64:AH$66)/D63</f>
        <v>787335.01176161878</v>
      </c>
      <c r="AL63" s="51">
        <f>SUM(AE64:$AF$67)*$G$14/D63</f>
        <v>109669.97269131898</v>
      </c>
      <c r="AM63" s="51"/>
      <c r="AN63" s="51">
        <f ca="1">-SUM(AD63:$AD$67,AH63:$AH$67)/D63</f>
        <v>2868330.7446156805</v>
      </c>
      <c r="AO63" s="51">
        <f ca="1">-SUM(W63:$W$67,AA63:$AA$67)</f>
        <v>2882291.9825849691</v>
      </c>
      <c r="AQ63" s="9">
        <f t="shared" ca="1" si="26"/>
        <v>1471440.2903970471</v>
      </c>
      <c r="AR63" s="9">
        <f t="shared" si="27"/>
        <v>23576.080188818232</v>
      </c>
      <c r="AS63" s="9">
        <f t="shared" ca="1" si="28"/>
        <v>462347.61593023734</v>
      </c>
    </row>
    <row r="64" spans="1:45" outlineLevel="1" x14ac:dyDescent="0.55000000000000004">
      <c r="A64" s="9"/>
      <c r="B64" s="1" t="s">
        <v>17</v>
      </c>
      <c r="C64" s="3">
        <v>6</v>
      </c>
      <c r="D64" s="87">
        <f t="shared" si="37"/>
        <v>0.9707328852712489</v>
      </c>
      <c r="E64" s="4"/>
      <c r="F64" s="84">
        <f t="shared" si="29"/>
        <v>0.85381496824546244</v>
      </c>
      <c r="G64" s="84">
        <f t="shared" si="38"/>
        <v>0.86520917001411479</v>
      </c>
      <c r="H64" s="154">
        <f t="shared" si="39"/>
        <v>0.82882626761269751</v>
      </c>
      <c r="I64" s="4"/>
      <c r="J64" s="98">
        <v>1</v>
      </c>
      <c r="K64" s="94">
        <f t="shared" si="30"/>
        <v>0.125</v>
      </c>
      <c r="L64" s="47">
        <f t="shared" si="40"/>
        <v>0.86520917001411479</v>
      </c>
      <c r="M64" s="47">
        <f t="shared" si="41"/>
        <v>0.83988699397094413</v>
      </c>
      <c r="N64" s="4"/>
      <c r="O64" s="98">
        <v>1</v>
      </c>
      <c r="P64" s="94">
        <f t="shared" si="31"/>
        <v>0.125</v>
      </c>
      <c r="Q64" s="155">
        <f t="shared" si="42"/>
        <v>0.86520917001411479</v>
      </c>
      <c r="R64" s="155">
        <f t="shared" si="43"/>
        <v>0.83988699397094413</v>
      </c>
      <c r="S64" s="51"/>
      <c r="T64" s="138">
        <v>5.1890782453176132E-2</v>
      </c>
      <c r="U64" s="136">
        <f t="shared" si="44"/>
        <v>5.3596392037411206E-2</v>
      </c>
      <c r="W64" s="63">
        <f t="shared" si="23"/>
        <v>-960541.83927614521</v>
      </c>
      <c r="X64" s="63">
        <f t="shared" si="45"/>
        <v>1165636.4224661011</v>
      </c>
      <c r="Y64" s="63">
        <f t="shared" si="46"/>
        <v>96054.183927614518</v>
      </c>
      <c r="Z64" s="63">
        <v>0</v>
      </c>
      <c r="AA64" s="63">
        <f t="shared" ca="1" si="32"/>
        <v>0</v>
      </c>
      <c r="AB64" s="64">
        <f t="shared" ca="1" si="33"/>
        <v>301148.76711757045</v>
      </c>
      <c r="AC64" s="51"/>
      <c r="AD64" s="51">
        <f t="shared" si="24"/>
        <v>-932429.55106428463</v>
      </c>
      <c r="AE64" s="64">
        <f t="shared" si="34"/>
        <v>1131521.6075577748</v>
      </c>
      <c r="AF64" s="64">
        <f t="shared" si="34"/>
        <v>93242.955106428461</v>
      </c>
      <c r="AG64" s="51">
        <f t="shared" si="25"/>
        <v>0</v>
      </c>
      <c r="AH64" s="64">
        <f t="shared" ca="1" si="35"/>
        <v>0</v>
      </c>
      <c r="AI64" s="64">
        <f t="shared" ca="1" si="36"/>
        <v>292335.01159991859</v>
      </c>
      <c r="AJ64" s="57"/>
      <c r="AK64" s="51">
        <f ca="1">SUM(AD64:AD$66,AG64:AG$66)/D64+SUM(AE65:AF$67,AH65:AH$66)/D64</f>
        <v>520625.02628194913</v>
      </c>
      <c r="AL64" s="51">
        <f>SUM(AE65:$AF$67)*$G$14/D64</f>
        <v>72363.539069609658</v>
      </c>
      <c r="AM64" s="51"/>
      <c r="AN64" s="51">
        <f ca="1">-SUM(AD64:$AD$67,AH64:$AH$67)/D64</f>
        <v>1891492.9427050399</v>
      </c>
      <c r="AO64" s="51">
        <f ca="1">-SUM(W64:$W$67,AA64:$AA$67)</f>
        <v>1896113.189329356</v>
      </c>
      <c r="AQ64" s="9">
        <f t="shared" ca="1" si="26"/>
        <v>963735.0349473618</v>
      </c>
      <c r="AR64" s="9">
        <f t="shared" si="27"/>
        <v>16392.433282167251</v>
      </c>
      <c r="AS64" s="9">
        <f t="shared" ca="1" si="28"/>
        <v>328960.81829077913</v>
      </c>
    </row>
    <row r="65" spans="1:45" outlineLevel="1" x14ac:dyDescent="0.55000000000000004">
      <c r="A65" s="9"/>
      <c r="B65" s="1" t="s">
        <v>18</v>
      </c>
      <c r="C65" s="3">
        <v>7</v>
      </c>
      <c r="D65" s="87">
        <f t="shared" si="37"/>
        <v>0.96593899612956868</v>
      </c>
      <c r="E65" s="4"/>
      <c r="F65" s="84">
        <f t="shared" si="29"/>
        <v>0.83161897782507621</v>
      </c>
      <c r="G65" s="84">
        <f t="shared" si="38"/>
        <v>0.84271697303526927</v>
      </c>
      <c r="H65" s="154">
        <f t="shared" si="39"/>
        <v>0.80329320060265219</v>
      </c>
      <c r="I65" s="4"/>
      <c r="J65" s="98">
        <v>1</v>
      </c>
      <c r="K65" s="94">
        <f t="shared" si="30"/>
        <v>0.125</v>
      </c>
      <c r="L65" s="47">
        <f t="shared" si="40"/>
        <v>0.84271697303526927</v>
      </c>
      <c r="M65" s="47">
        <f t="shared" si="41"/>
        <v>0.81401318695503677</v>
      </c>
      <c r="N65" s="4"/>
      <c r="O65" s="98">
        <v>1</v>
      </c>
      <c r="P65" s="94">
        <f t="shared" si="31"/>
        <v>0.125</v>
      </c>
      <c r="Q65" s="155">
        <f t="shared" si="42"/>
        <v>0.84271697303526927</v>
      </c>
      <c r="R65" s="155">
        <f t="shared" si="43"/>
        <v>0.81401318695503677</v>
      </c>
      <c r="S65" s="51"/>
      <c r="T65" s="138">
        <v>2.7830892374108518E-2</v>
      </c>
      <c r="U65" s="136">
        <f t="shared" si="44"/>
        <v>2.8745672119700673E-2</v>
      </c>
      <c r="W65" s="63">
        <f t="shared" si="23"/>
        <v>-935571.35005321074</v>
      </c>
      <c r="X65" s="63">
        <f t="shared" si="45"/>
        <v>1136750.7570496912</v>
      </c>
      <c r="Y65" s="63">
        <f t="shared" si="46"/>
        <v>93557.135005321077</v>
      </c>
      <c r="Z65" s="63">
        <v>0</v>
      </c>
      <c r="AA65" s="63">
        <f t="shared" ca="1" si="32"/>
        <v>0</v>
      </c>
      <c r="AB65" s="64">
        <f t="shared" ca="1" si="33"/>
        <v>294736.54200180148</v>
      </c>
      <c r="AC65" s="51"/>
      <c r="AD65" s="51">
        <f t="shared" si="24"/>
        <v>-903704.85067798372</v>
      </c>
      <c r="AE65" s="64">
        <f t="shared" si="34"/>
        <v>1098031.8851141059</v>
      </c>
      <c r="AF65" s="64">
        <f t="shared" si="34"/>
        <v>90370.485067798378</v>
      </c>
      <c r="AG65" s="51">
        <f t="shared" si="25"/>
        <v>0</v>
      </c>
      <c r="AH65" s="64">
        <f t="shared" ca="1" si="35"/>
        <v>0</v>
      </c>
      <c r="AI65" s="64">
        <f t="shared" ca="1" si="36"/>
        <v>284697.51950392057</v>
      </c>
      <c r="AJ65" s="57"/>
      <c r="AK65" s="51">
        <f ca="1">SUM(AD65:AD$66,AG65:AG$66)/D65+SUM(AE66:AF$67,AH66:AH$66)/D65</f>
        <v>258209.90330534382</v>
      </c>
      <c r="AL65" s="51">
        <f>SUM(AE66:$AF$67)*$G$14/D65</f>
        <v>35813.437600756639</v>
      </c>
      <c r="AM65" s="51"/>
      <c r="AN65" s="51">
        <f ca="1">-SUM(AD65:$AD$67,AH65:$AH$67)/D65</f>
        <v>935571.35005321074</v>
      </c>
      <c r="AO65" s="51">
        <f ca="1">-SUM(W65:$W$67,AA65:$AA$67)</f>
        <v>935571.35005321074</v>
      </c>
      <c r="AQ65" s="9">
        <f t="shared" ca="1" si="26"/>
        <v>473543.64245386166</v>
      </c>
      <c r="AR65" s="9">
        <f t="shared" si="27"/>
        <v>8514.7590743222172</v>
      </c>
      <c r="AS65" s="9">
        <f t="shared" ca="1" si="28"/>
        <v>174264.04037600453</v>
      </c>
    </row>
    <row r="66" spans="1:45" outlineLevel="1" x14ac:dyDescent="0.55000000000000004">
      <c r="A66" s="9"/>
      <c r="B66" s="1" t="s">
        <v>19</v>
      </c>
      <c r="C66" s="3">
        <v>8</v>
      </c>
      <c r="D66" s="87">
        <f t="shared" si="37"/>
        <v>0.96116878123798488</v>
      </c>
      <c r="E66" s="4"/>
      <c r="F66" s="84">
        <f t="shared" si="29"/>
        <v>0.81</v>
      </c>
      <c r="G66" s="84">
        <f t="shared" si="38"/>
        <v>0.82080948891253813</v>
      </c>
      <c r="H66" s="154">
        <f t="shared" si="39"/>
        <v>0.77854671280276777</v>
      </c>
      <c r="I66" s="4"/>
      <c r="J66" s="98">
        <v>1</v>
      </c>
      <c r="K66" s="94">
        <f t="shared" si="30"/>
        <v>0.125</v>
      </c>
      <c r="L66" s="47">
        <f t="shared" si="40"/>
        <v>0.82080948891253813</v>
      </c>
      <c r="M66" s="47">
        <f t="shared" si="41"/>
        <v>0.78893645608663754</v>
      </c>
      <c r="N66" s="4"/>
      <c r="O66" s="98">
        <v>1</v>
      </c>
      <c r="P66" s="94">
        <f t="shared" si="31"/>
        <v>0.125</v>
      </c>
      <c r="Q66" s="155">
        <f t="shared" si="42"/>
        <v>0.82080948891253813</v>
      </c>
      <c r="R66" s="155">
        <f t="shared" si="43"/>
        <v>0.78893645608663754</v>
      </c>
      <c r="S66" s="51"/>
      <c r="T66" s="138">
        <v>1.5225286106495761E-2</v>
      </c>
      <c r="U66" s="136">
        <f t="shared" si="44"/>
        <v>1.5725729396773625E-2</v>
      </c>
      <c r="W66" s="63">
        <f t="shared" si="23"/>
        <v>0</v>
      </c>
      <c r="X66" s="63">
        <f t="shared" si="45"/>
        <v>1108580.9080323465</v>
      </c>
      <c r="Y66" s="63">
        <f t="shared" si="46"/>
        <v>91125</v>
      </c>
      <c r="Z66" s="63">
        <v>0</v>
      </c>
      <c r="AA66" s="63">
        <f t="shared" ca="1" si="32"/>
        <v>0</v>
      </c>
      <c r="AB66" s="64">
        <f t="shared" ca="1" si="33"/>
        <v>1199705.9080323465</v>
      </c>
      <c r="AC66" s="51"/>
      <c r="AD66" s="51">
        <f t="shared" si="24"/>
        <v>0</v>
      </c>
      <c r="AE66" s="64">
        <f t="shared" si="34"/>
        <v>1065533.3602771491</v>
      </c>
      <c r="AF66" s="64">
        <f t="shared" si="34"/>
        <v>87586.505190311378</v>
      </c>
      <c r="AG66" s="51">
        <f t="shared" si="25"/>
        <v>0</v>
      </c>
      <c r="AH66" s="64">
        <f t="shared" ca="1" si="35"/>
        <v>0</v>
      </c>
      <c r="AI66" s="64">
        <f t="shared" ca="1" si="36"/>
        <v>1153119.8654674606</v>
      </c>
      <c r="AJ66" s="57"/>
      <c r="AK66" s="51">
        <f ca="1">SUM(AD66:AD$66,AG66:AG$66)/D66+SUM(AE67:AF$67,AH$66:AH67)/D66</f>
        <v>0</v>
      </c>
      <c r="AL66" s="51">
        <f>SUM(AE67:$AF$67)*$G$14/D66</f>
        <v>0</v>
      </c>
      <c r="AM66" s="51"/>
      <c r="AN66" s="51">
        <f ca="1">-SUM(AD66:$AD$67,AH66:$AH$67)/D66</f>
        <v>0</v>
      </c>
      <c r="AO66" s="51">
        <f ca="1">-SUM(W66:$W$67,AA66:$AA$67)</f>
        <v>0</v>
      </c>
      <c r="AQ66" s="9">
        <f t="shared" ca="1" si="26"/>
        <v>0</v>
      </c>
      <c r="AR66" s="9">
        <f t="shared" si="27"/>
        <v>0</v>
      </c>
      <c r="AS66" s="9">
        <f t="shared" ca="1" si="28"/>
        <v>0</v>
      </c>
    </row>
    <row r="67" spans="1:45" outlineLevel="1" x14ac:dyDescent="0.55000000000000004">
      <c r="B67" s="8"/>
      <c r="C67" s="6"/>
      <c r="D67" s="7"/>
      <c r="E67" s="2"/>
      <c r="F67" s="85"/>
      <c r="G67" s="85"/>
      <c r="H67" s="79"/>
      <c r="I67" s="2"/>
      <c r="J67" s="6"/>
      <c r="K67" s="6"/>
      <c r="L67" s="71"/>
      <c r="M67" s="90"/>
      <c r="N67" s="2"/>
      <c r="O67" s="12"/>
      <c r="P67" s="12"/>
      <c r="Q67" s="50"/>
      <c r="R67" s="90"/>
      <c r="S67" s="55"/>
      <c r="T67" s="137"/>
      <c r="U67" s="137"/>
      <c r="W67" s="66"/>
      <c r="X67" s="66"/>
      <c r="Y67" s="66"/>
      <c r="Z67" s="66"/>
      <c r="AA67" s="66"/>
      <c r="AB67" s="66"/>
      <c r="AC67" s="55"/>
      <c r="AD67" s="67"/>
      <c r="AE67" s="68"/>
      <c r="AF67" s="68"/>
      <c r="AG67" s="67"/>
      <c r="AH67" s="67"/>
      <c r="AI67" s="68"/>
      <c r="AJ67" s="57"/>
      <c r="AK67" s="67"/>
      <c r="AL67" s="67"/>
      <c r="AM67" s="51"/>
      <c r="AN67" s="122"/>
      <c r="AO67" s="122"/>
      <c r="AQ67" s="67"/>
      <c r="AR67" s="67"/>
      <c r="AS67" s="67"/>
    </row>
    <row r="68" spans="1:45" outlineLevel="1" x14ac:dyDescent="0.55000000000000004">
      <c r="A68" s="9"/>
      <c r="B68" s="4"/>
      <c r="C68" s="4"/>
      <c r="D68" s="4"/>
      <c r="E68" s="4"/>
      <c r="F68" s="3"/>
      <c r="G68" s="3"/>
      <c r="H68" s="4"/>
      <c r="I68" s="4"/>
      <c r="J68" s="4"/>
      <c r="K68" s="4"/>
      <c r="L68" s="51"/>
      <c r="M68" s="51"/>
      <c r="N68" s="4"/>
      <c r="O68" s="4"/>
      <c r="P68" s="4"/>
      <c r="Q68" s="51"/>
      <c r="R68" s="51"/>
      <c r="S68" s="51"/>
      <c r="T68" s="4"/>
      <c r="U68" s="4"/>
      <c r="W68" s="51"/>
      <c r="X68" s="51"/>
      <c r="Y68" s="51"/>
      <c r="Z68" s="51"/>
      <c r="AA68" s="51"/>
      <c r="AB68" s="51"/>
      <c r="AC68" s="51"/>
      <c r="AD68" s="51"/>
      <c r="AE68" s="51"/>
      <c r="AF68" s="51"/>
      <c r="AG68" s="51"/>
      <c r="AH68" s="51"/>
      <c r="AI68" s="51"/>
      <c r="AJ68" s="57"/>
      <c r="AK68" s="51"/>
      <c r="AL68" s="51"/>
      <c r="AM68" s="51"/>
      <c r="AN68" s="70"/>
      <c r="AO68" s="70"/>
      <c r="AQ68" s="51"/>
      <c r="AR68" s="51"/>
      <c r="AS68" s="51"/>
    </row>
    <row r="69" spans="1:45" outlineLevel="1" x14ac:dyDescent="0.55000000000000004">
      <c r="A69" s="9"/>
      <c r="B69" s="24"/>
      <c r="C69" s="24"/>
      <c r="D69" s="25"/>
      <c r="E69" s="4"/>
      <c r="F69" s="26"/>
      <c r="G69" s="26"/>
      <c r="H69" s="26"/>
      <c r="I69" s="4"/>
      <c r="J69" s="80">
        <f>SUM(J59:J66)</f>
        <v>8</v>
      </c>
      <c r="K69" s="95">
        <f>SUM(K59:K66)</f>
        <v>1</v>
      </c>
      <c r="L69" s="81">
        <f>SUM(L59:L66)</f>
        <v>7.0531031286088499</v>
      </c>
      <c r="M69" s="81">
        <f>SUM(M59:M66)</f>
        <v>6.9016713593361008</v>
      </c>
      <c r="N69" s="4"/>
      <c r="O69" s="80">
        <f>SUM(O59:O66)</f>
        <v>8</v>
      </c>
      <c r="P69" s="95">
        <f>SUM(P59:P66)</f>
        <v>1</v>
      </c>
      <c r="Q69" s="81">
        <f>SUM(Q59:Q66)</f>
        <v>7.0531031286088499</v>
      </c>
      <c r="R69" s="81">
        <f>SUM(R59:R66)</f>
        <v>6.9016713593361008</v>
      </c>
      <c r="S69" s="52"/>
      <c r="T69" s="80">
        <f>SUM(T59:T66)</f>
        <v>0.9681767835595253</v>
      </c>
      <c r="U69" s="95">
        <f>SUM(U59:U66)</f>
        <v>1</v>
      </c>
      <c r="W69" s="52">
        <f t="shared" ref="W69:AB69" si="47">SUM(W58:W66)</f>
        <v>-8041616.0196849545</v>
      </c>
      <c r="X69" s="52">
        <f t="shared" si="47"/>
        <v>7653825.2201356208</v>
      </c>
      <c r="Y69" s="52">
        <f t="shared" si="47"/>
        <v>933877.80382349482</v>
      </c>
      <c r="Z69" s="52">
        <f t="shared" si="47"/>
        <v>-900000</v>
      </c>
      <c r="AA69" s="52">
        <f t="shared" ca="1" si="47"/>
        <v>0</v>
      </c>
      <c r="AB69" s="52">
        <f t="shared" ca="1" si="47"/>
        <v>-353912.99572583917</v>
      </c>
      <c r="AC69" s="51"/>
      <c r="AD69" s="52">
        <f t="shared" ref="AD69:AI69" si="48">SUM(AD58:AD66)</f>
        <v>-7908475.4499325827</v>
      </c>
      <c r="AE69" s="52">
        <f t="shared" si="48"/>
        <v>7467069.7517900774</v>
      </c>
      <c r="AF69" s="52">
        <f t="shared" si="48"/>
        <v>915565.38564729632</v>
      </c>
      <c r="AG69" s="52">
        <f t="shared" si="48"/>
        <v>-900000</v>
      </c>
      <c r="AH69" s="52">
        <f t="shared" ca="1" si="48"/>
        <v>0</v>
      </c>
      <c r="AI69" s="52">
        <f t="shared" ca="1" si="48"/>
        <v>-425840.31249520811</v>
      </c>
      <c r="AJ69" s="52"/>
      <c r="AK69" s="52"/>
      <c r="AL69" s="52"/>
      <c r="AM69" s="51"/>
      <c r="AN69" s="70"/>
      <c r="AO69" s="70"/>
      <c r="AQ69" s="52"/>
      <c r="AR69" s="52"/>
      <c r="AS69" s="52"/>
    </row>
    <row r="70" spans="1:45" ht="15.3" x14ac:dyDescent="0.55000000000000004">
      <c r="A70" s="9"/>
      <c r="B70" s="24"/>
      <c r="C70" s="24"/>
      <c r="D70" s="4"/>
      <c r="E70" s="4"/>
      <c r="F70" s="4"/>
      <c r="G70" s="4"/>
      <c r="H70" s="4"/>
      <c r="I70" s="4"/>
      <c r="J70" s="24"/>
      <c r="K70" s="24"/>
      <c r="L70" s="52"/>
      <c r="M70" s="52"/>
      <c r="N70" s="4"/>
      <c r="O70" s="24"/>
      <c r="P70" s="24"/>
      <c r="Q70" s="52"/>
      <c r="R70" s="52"/>
      <c r="S70" s="51"/>
      <c r="W70" s="52"/>
      <c r="X70" s="52"/>
      <c r="Y70" s="52"/>
      <c r="Z70" s="52"/>
      <c r="AA70" s="52"/>
      <c r="AB70" s="52"/>
      <c r="AC70" s="51"/>
      <c r="AD70" s="52"/>
      <c r="AE70" s="73"/>
      <c r="AF70" s="73"/>
      <c r="AG70" s="52"/>
      <c r="AH70" s="52"/>
      <c r="AI70" s="52"/>
      <c r="AJ70" s="57"/>
      <c r="AK70" s="52"/>
      <c r="AL70" s="52"/>
      <c r="AM70" s="52"/>
      <c r="AN70" s="70"/>
      <c r="AO70" s="70"/>
    </row>
    <row r="71" spans="1:45" ht="15.3" x14ac:dyDescent="0.55000000000000004">
      <c r="A71" s="9"/>
      <c r="B71" s="24"/>
      <c r="C71" s="24"/>
      <c r="D71" s="4"/>
      <c r="E71" s="4"/>
      <c r="F71" s="4"/>
      <c r="G71" s="4"/>
      <c r="H71" s="4"/>
      <c r="I71" s="4"/>
      <c r="J71" s="24"/>
      <c r="K71" s="24"/>
      <c r="L71" s="52"/>
      <c r="M71" s="52"/>
      <c r="N71" s="4"/>
      <c r="O71" s="24"/>
      <c r="P71" s="24"/>
      <c r="Q71" s="52"/>
      <c r="R71" s="52"/>
      <c r="S71" s="51"/>
      <c r="W71" s="52"/>
      <c r="X71" s="52"/>
      <c r="Y71" s="52"/>
      <c r="Z71" s="52"/>
      <c r="AA71" s="52"/>
      <c r="AB71" s="52"/>
      <c r="AC71" s="51"/>
      <c r="AD71" s="52"/>
      <c r="AE71" s="73"/>
      <c r="AF71" s="73"/>
      <c r="AG71" s="52"/>
      <c r="AH71" s="52"/>
      <c r="AI71" s="52"/>
      <c r="AJ71" s="57"/>
      <c r="AK71" s="52"/>
      <c r="AL71" s="52"/>
      <c r="AM71" s="52"/>
      <c r="AN71" s="70"/>
      <c r="AO71" s="70"/>
    </row>
    <row r="72" spans="1:45" ht="18.3" x14ac:dyDescent="0.55000000000000004">
      <c r="A72" s="2"/>
      <c r="B72" s="144" t="s">
        <v>173</v>
      </c>
      <c r="C72" s="108"/>
      <c r="D72" s="109"/>
      <c r="H72" s="106"/>
      <c r="J72" s="2"/>
      <c r="K72" s="2"/>
      <c r="N72" s="2"/>
      <c r="O72" s="2"/>
      <c r="P72" s="2"/>
      <c r="Q72" s="2"/>
      <c r="S72" s="2"/>
      <c r="W72" s="55"/>
      <c r="X72" s="55"/>
      <c r="Y72" s="55"/>
      <c r="Z72" s="55"/>
      <c r="AA72" s="55"/>
      <c r="AB72" s="55"/>
      <c r="AC72" s="2"/>
      <c r="AD72" s="22"/>
      <c r="AE72" s="2"/>
      <c r="AF72" s="2"/>
      <c r="AG72" s="2"/>
      <c r="AH72" s="2"/>
      <c r="AI72" s="2"/>
      <c r="AJ72" s="21"/>
      <c r="AK72" s="2"/>
      <c r="AL72" s="2"/>
      <c r="AM72" s="2"/>
      <c r="AN72" s="70"/>
      <c r="AO72" s="70"/>
    </row>
    <row r="73" spans="1:45" outlineLevel="1" x14ac:dyDescent="0.55000000000000004">
      <c r="D73" s="2"/>
      <c r="E73" s="2"/>
      <c r="F73" s="2"/>
      <c r="G73" s="2"/>
      <c r="H73" s="2"/>
      <c r="I73" s="2"/>
      <c r="J73" s="2"/>
      <c r="K73" s="2"/>
      <c r="L73" s="2"/>
      <c r="M73" s="2"/>
      <c r="N73" s="2"/>
      <c r="O73" s="2"/>
      <c r="P73" s="2"/>
      <c r="Q73" s="2"/>
      <c r="R73" s="2"/>
      <c r="S73" s="2"/>
      <c r="W73" s="55"/>
      <c r="X73" s="55"/>
      <c r="Y73" s="55"/>
      <c r="Z73" s="55"/>
      <c r="AA73" s="114"/>
      <c r="AB73" s="115"/>
      <c r="AC73" s="2"/>
      <c r="AD73" s="2"/>
      <c r="AE73" s="2"/>
      <c r="AF73" s="2"/>
      <c r="AG73" s="2"/>
      <c r="AH73" s="2"/>
      <c r="AI73" s="2"/>
      <c r="AJ73" s="21"/>
      <c r="AK73" s="2"/>
      <c r="AL73" s="2"/>
      <c r="AM73" s="51"/>
      <c r="AN73" s="70"/>
      <c r="AO73" s="70"/>
    </row>
    <row r="74" spans="1:45" ht="19.899999999999999" customHeight="1" outlineLevel="1" x14ac:dyDescent="0.55000000000000004">
      <c r="B74" s="173" t="s">
        <v>68</v>
      </c>
      <c r="C74" s="173"/>
      <c r="D74" s="173"/>
      <c r="E74" s="2"/>
      <c r="F74" s="174" t="s">
        <v>129</v>
      </c>
      <c r="G74" s="174"/>
      <c r="H74" s="174"/>
      <c r="I74" s="2"/>
      <c r="J74" s="174" t="s">
        <v>70</v>
      </c>
      <c r="K74" s="174"/>
      <c r="L74" s="174"/>
      <c r="M74" s="174"/>
      <c r="N74" s="2"/>
      <c r="O74" s="174" t="s">
        <v>39</v>
      </c>
      <c r="P74" s="174"/>
      <c r="Q74" s="174"/>
      <c r="R74" s="174"/>
      <c r="S74" s="2"/>
      <c r="T74" s="170" t="s">
        <v>474</v>
      </c>
      <c r="U74" s="170"/>
      <c r="W74" s="172" t="s">
        <v>32</v>
      </c>
      <c r="X74" s="172"/>
      <c r="Y74" s="172"/>
      <c r="Z74" s="172"/>
      <c r="AA74" s="172"/>
      <c r="AB74" s="172"/>
      <c r="AC74" s="2"/>
      <c r="AD74" s="171" t="s">
        <v>33</v>
      </c>
      <c r="AE74" s="171"/>
      <c r="AF74" s="171"/>
      <c r="AG74" s="171"/>
      <c r="AH74" s="171"/>
      <c r="AI74" s="171"/>
      <c r="AJ74" s="21"/>
      <c r="AK74" s="171" t="s">
        <v>154</v>
      </c>
      <c r="AL74" s="171"/>
      <c r="AM74" s="51"/>
      <c r="AN74" s="172" t="s">
        <v>340</v>
      </c>
      <c r="AO74" s="172"/>
      <c r="AQ74" s="173" t="s">
        <v>147</v>
      </c>
      <c r="AR74" s="173"/>
      <c r="AS74" s="173"/>
    </row>
    <row r="75" spans="1:45" ht="30.6" customHeight="1" outlineLevel="1" x14ac:dyDescent="0.55000000000000004">
      <c r="B75" s="146" t="s">
        <v>149</v>
      </c>
      <c r="C75" s="146" t="s">
        <v>10</v>
      </c>
      <c r="D75" s="78" t="s">
        <v>126</v>
      </c>
      <c r="E75" s="13"/>
      <c r="F75" s="82" t="s">
        <v>129</v>
      </c>
      <c r="G75" s="82" t="s">
        <v>158</v>
      </c>
      <c r="H75" s="134" t="s">
        <v>2</v>
      </c>
      <c r="I75" s="2"/>
      <c r="J75" s="88" t="s">
        <v>127</v>
      </c>
      <c r="K75" s="88" t="s">
        <v>37</v>
      </c>
      <c r="L75" s="48" t="s">
        <v>131</v>
      </c>
      <c r="M75" s="134" t="s">
        <v>2</v>
      </c>
      <c r="N75" s="13"/>
      <c r="O75" s="91" t="s">
        <v>128</v>
      </c>
      <c r="P75" s="91" t="s">
        <v>37</v>
      </c>
      <c r="Q75" s="92" t="s">
        <v>132</v>
      </c>
      <c r="R75" s="134" t="s">
        <v>2</v>
      </c>
      <c r="S75" s="55"/>
      <c r="T75" s="91" t="s">
        <v>159</v>
      </c>
      <c r="U75" s="91" t="s">
        <v>37</v>
      </c>
      <c r="W75" s="53" t="s">
        <v>12</v>
      </c>
      <c r="X75" s="53" t="s">
        <v>35</v>
      </c>
      <c r="Y75" s="53" t="s">
        <v>36</v>
      </c>
      <c r="Z75" s="53" t="s">
        <v>42</v>
      </c>
      <c r="AA75" s="56" t="s">
        <v>121</v>
      </c>
      <c r="AB75" s="53" t="s">
        <v>1</v>
      </c>
      <c r="AC75" s="55"/>
      <c r="AD75" s="53" t="s">
        <v>12</v>
      </c>
      <c r="AE75" s="53" t="s">
        <v>35</v>
      </c>
      <c r="AF75" s="53" t="s">
        <v>36</v>
      </c>
      <c r="AG75" s="56" t="s">
        <v>42</v>
      </c>
      <c r="AH75" s="56" t="s">
        <v>121</v>
      </c>
      <c r="AI75" s="53" t="s">
        <v>1</v>
      </c>
      <c r="AJ75" s="57"/>
      <c r="AK75" s="58" t="s">
        <v>3</v>
      </c>
      <c r="AL75" s="58" t="s">
        <v>0</v>
      </c>
      <c r="AM75" s="51"/>
      <c r="AN75" s="76" t="s">
        <v>46</v>
      </c>
      <c r="AO75" s="76" t="s">
        <v>150</v>
      </c>
      <c r="AQ75" s="58" t="s">
        <v>3</v>
      </c>
      <c r="AR75" s="58" t="s">
        <v>0</v>
      </c>
      <c r="AS75" s="58" t="s">
        <v>12</v>
      </c>
    </row>
    <row r="76" spans="1:45" s="19" customFormat="1" outlineLevel="1" x14ac:dyDescent="0.55000000000000004">
      <c r="B76" s="15" t="s">
        <v>246</v>
      </c>
      <c r="C76" s="15" t="s">
        <v>247</v>
      </c>
      <c r="D76" s="16" t="s">
        <v>248</v>
      </c>
      <c r="E76" s="20"/>
      <c r="F76" s="83" t="s">
        <v>249</v>
      </c>
      <c r="G76" s="83" t="s">
        <v>250</v>
      </c>
      <c r="H76" s="18" t="s">
        <v>251</v>
      </c>
      <c r="I76" s="23"/>
      <c r="J76" s="18" t="s">
        <v>252</v>
      </c>
      <c r="K76" s="18" t="s">
        <v>253</v>
      </c>
      <c r="L76" s="18" t="s">
        <v>254</v>
      </c>
      <c r="M76" s="17" t="s">
        <v>255</v>
      </c>
      <c r="N76" s="20"/>
      <c r="O76" s="17" t="s">
        <v>256</v>
      </c>
      <c r="P76" s="17" t="s">
        <v>257</v>
      </c>
      <c r="Q76" s="17" t="s">
        <v>258</v>
      </c>
      <c r="R76" s="143" t="s">
        <v>259</v>
      </c>
      <c r="S76" s="61"/>
      <c r="T76" s="17" t="s">
        <v>260</v>
      </c>
      <c r="U76" s="17" t="s">
        <v>261</v>
      </c>
      <c r="W76" s="60" t="s">
        <v>262</v>
      </c>
      <c r="X76" s="60" t="s">
        <v>263</v>
      </c>
      <c r="Y76" s="60" t="s">
        <v>264</v>
      </c>
      <c r="Z76" s="60" t="s">
        <v>265</v>
      </c>
      <c r="AA76" s="60" t="s">
        <v>266</v>
      </c>
      <c r="AB76" s="60" t="s">
        <v>267</v>
      </c>
      <c r="AC76" s="61"/>
      <c r="AD76" s="60" t="s">
        <v>268</v>
      </c>
      <c r="AE76" s="60" t="s">
        <v>269</v>
      </c>
      <c r="AF76" s="60" t="s">
        <v>270</v>
      </c>
      <c r="AG76" s="60" t="s">
        <v>271</v>
      </c>
      <c r="AH76" s="60" t="s">
        <v>272</v>
      </c>
      <c r="AI76" s="60" t="s">
        <v>273</v>
      </c>
      <c r="AJ76" s="62"/>
      <c r="AK76" s="60" t="s">
        <v>274</v>
      </c>
      <c r="AL76" s="60" t="s">
        <v>275</v>
      </c>
      <c r="AN76" s="60" t="s">
        <v>307</v>
      </c>
      <c r="AO76" s="60" t="s">
        <v>308</v>
      </c>
      <c r="AQ76" s="60" t="s">
        <v>309</v>
      </c>
      <c r="AR76" s="60" t="s">
        <v>310</v>
      </c>
      <c r="AS76" s="60" t="s">
        <v>311</v>
      </c>
    </row>
    <row r="77" spans="1:45" outlineLevel="1" x14ac:dyDescent="0.55000000000000004">
      <c r="B77" s="1"/>
      <c r="C77" s="3">
        <v>0</v>
      </c>
      <c r="D77" s="87">
        <v>1</v>
      </c>
      <c r="E77" s="2"/>
      <c r="F77" s="84">
        <v>1</v>
      </c>
      <c r="G77" s="84"/>
      <c r="H77" s="5"/>
      <c r="I77" s="2"/>
      <c r="J77" s="2"/>
      <c r="K77" s="2"/>
      <c r="L77" s="55"/>
      <c r="M77" s="55"/>
      <c r="N77" s="2"/>
      <c r="O77" s="10"/>
      <c r="P77" s="10"/>
      <c r="Q77" s="49"/>
      <c r="R77" s="55"/>
      <c r="S77" s="55"/>
      <c r="T77" s="2"/>
      <c r="U77" s="2"/>
      <c r="W77" s="63">
        <f t="shared" ref="W77:W85" si="49">IFERROR(IF(C77&gt;=$F$7*4,0,-IF($F$22="pattern",U78*$F$21,IF(AND($F$22="single",C77=0),$F$21,IF(AND($F$22="annual",MOD(C77,4)=0),$F$21/$F$7,IF(AND($F$22="semi-ann",MOD(C77,2)=0),$F$21/(2*$F$7),IF($F$22="quarterly",$F$21/(4*$F$7),0)))))*F77),0)</f>
        <v>-1125000</v>
      </c>
      <c r="X77" s="63"/>
      <c r="Y77" s="63"/>
      <c r="Z77" s="63">
        <f>-$F$13*$F$21</f>
        <v>-900000</v>
      </c>
      <c r="AA77" s="63"/>
      <c r="AB77" s="64">
        <f>SUM(W77:AA77)</f>
        <v>-2025000</v>
      </c>
      <c r="AC77" s="55"/>
      <c r="AD77" s="64">
        <f t="shared" ref="AD77:AD85" si="50">W77*$D77</f>
        <v>-1125000</v>
      </c>
      <c r="AE77" s="64"/>
      <c r="AF77" s="64"/>
      <c r="AG77" s="64">
        <f t="shared" ref="AG77:AG85" si="51">Z77*$D77</f>
        <v>-900000</v>
      </c>
      <c r="AH77" s="64"/>
      <c r="AI77" s="64">
        <f>SUM(AD77:AH77)</f>
        <v>-2025000</v>
      </c>
      <c r="AJ77" s="57"/>
      <c r="AK77" s="51">
        <f ca="1">SUM(AD77:AD$85,AG77:AG$85)/D77+SUM(AE78:AF$86,AH78:AH$85)/D77</f>
        <v>-404322.06097078696</v>
      </c>
      <c r="AL77" s="51">
        <f>SUM(AE78:$AF$86)*$G$14/D77</f>
        <v>252816.46093982318</v>
      </c>
      <c r="AM77" s="51"/>
      <c r="AN77" s="51">
        <f ca="1">-SUM(AD77:$AD$86,AH77:$AH$86)/D77</f>
        <v>7931537.4256315595</v>
      </c>
      <c r="AO77" s="51">
        <f ca="1">-SUM(W77:$W$86,AA77:$AA$86)</f>
        <v>8041616.0196849545</v>
      </c>
      <c r="AQ77" s="9">
        <f t="shared" ref="AQ77:AQ85" ca="1" si="52">AK77-AK58</f>
        <v>21518.251524422318</v>
      </c>
      <c r="AR77" s="9">
        <f t="shared" ref="AR77:AR85" si="53">AL77-AL58</f>
        <v>1337.4068167019868</v>
      </c>
      <c r="AS77" s="9">
        <f t="shared" ref="AS77:AS85" ca="1" si="54">IF($F$27="yes",AN77-AN58,AO77-AO58)</f>
        <v>23061.975698976777</v>
      </c>
    </row>
    <row r="78" spans="1:45" outlineLevel="1" x14ac:dyDescent="0.55000000000000004">
      <c r="A78" s="9"/>
      <c r="B78" s="1" t="s">
        <v>6</v>
      </c>
      <c r="C78" s="3">
        <v>1</v>
      </c>
      <c r="D78" s="87">
        <f>D77/(1+IF(C78&lt;$F$8,$F$17,$G$17))^(1/4)</f>
        <v>0.99506157747984325</v>
      </c>
      <c r="E78" s="4"/>
      <c r="F78" s="112">
        <f t="shared" ref="F78:F85" si="55">(1-IF(C78&lt;$F$8,$F$19,$G$19))^(C78/4)</f>
        <v>0.94574160900317583</v>
      </c>
      <c r="G78" s="84">
        <f>AVERAGE(F77:F78)</f>
        <v>0.97287080450158792</v>
      </c>
      <c r="H78" s="154">
        <f>F78*D78</f>
        <v>0.94107113734302528</v>
      </c>
      <c r="I78" s="4"/>
      <c r="J78" s="116">
        <f t="shared" ref="J78:J85" si="56">J59</f>
        <v>1</v>
      </c>
      <c r="K78" s="156">
        <f t="shared" ref="K78:K85" si="57">J78/$J$69</f>
        <v>0.125</v>
      </c>
      <c r="L78" s="155">
        <f>J78*G78</f>
        <v>0.97287080450158792</v>
      </c>
      <c r="M78" s="155">
        <f>L78*D78</f>
        <v>0.96806635741143421</v>
      </c>
      <c r="N78" s="4"/>
      <c r="O78" s="116">
        <f t="shared" ref="O78:O85" si="58">O59</f>
        <v>1</v>
      </c>
      <c r="P78" s="94">
        <f t="shared" ref="P78:P85" si="59">O78/$O$69</f>
        <v>0.125</v>
      </c>
      <c r="Q78" s="155">
        <f>O78*G78</f>
        <v>0.97287080450158792</v>
      </c>
      <c r="R78" s="155">
        <f>Q78*D78</f>
        <v>0.96806635741143421</v>
      </c>
      <c r="S78" s="51"/>
      <c r="T78" s="139">
        <f t="shared" ref="T78:T85" si="60">T59</f>
        <v>0.20282873599525819</v>
      </c>
      <c r="U78" s="136">
        <f>T78/$T$88</f>
        <v>0.20949555849661408</v>
      </c>
      <c r="W78" s="63">
        <f t="shared" si="49"/>
        <v>-1063959.3101285729</v>
      </c>
      <c r="X78" s="63">
        <f>$F$21*IF(C78&lt;$F$8,$F$11,$G$11)*P78*((1+$F$18)^(MIN($F$8-1,C78)/4))*((1+$G$18)^(MAX(0,C78-$F$8+1)/4))*F78</f>
        <v>639965.57494415354</v>
      </c>
      <c r="Y78" s="63">
        <f>$F$21*IF(C78&lt;$F$8,$F$12,$G$12)*IF($F$28="risk",P78*F78,IF($F$28="policies IF",F78/($F$7*4),1/($F$7*4)))</f>
        <v>159593.89651928592</v>
      </c>
      <c r="Z78" s="63">
        <v>0</v>
      </c>
      <c r="AA78" s="63">
        <f t="shared" ref="AA78:AA85" ca="1" si="61">IF($F$25="no",0,1)*(F78-F77)*OFFSET(W78,-IF($F$22="single",C78,IF($F$22="annual",MOD(C78,4),IF($F$22="semi-ann",MOD(C78,2),0))),0)*IF($F$22="single",($F$7*4-C78)/($F$7*4),IF(AND($F$22="annual",MOD(C78,4)&lt;&gt;0),(4-MOD(C78,4))/4,IF(AND($F$22="semi-ann",MOD(C78,2)&lt;&gt;0),0.5,0)))</f>
        <v>0</v>
      </c>
      <c r="AB78" s="64">
        <f t="shared" ref="AB78:AB85" ca="1" si="62">SUM(W78:AA78)</f>
        <v>-264399.8386651334</v>
      </c>
      <c r="AC78" s="51"/>
      <c r="AD78" s="51">
        <f t="shared" si="50"/>
        <v>-1058705.0295109034</v>
      </c>
      <c r="AE78" s="64">
        <f t="shared" ref="AE78:AF85" si="63">X78*$D78</f>
        <v>636805.15453672432</v>
      </c>
      <c r="AF78" s="64">
        <f t="shared" si="63"/>
        <v>158805.75442663551</v>
      </c>
      <c r="AG78" s="51">
        <f t="shared" si="51"/>
        <v>0</v>
      </c>
      <c r="AH78" s="64">
        <f t="shared" ref="AH78:AH85" ca="1" si="64">AA78*$D78</f>
        <v>0</v>
      </c>
      <c r="AI78" s="64">
        <f t="shared" ref="AI78:AI85" ca="1" si="65">SUM(AD78:AH78)</f>
        <v>-263094.12054754357</v>
      </c>
      <c r="AJ78" s="57"/>
      <c r="AK78" s="51">
        <f ca="1">SUM(AD78:AD$85,AG78:AG$85)/D78+SUM(AE79:AF$86,AH79:AH$85)/D78</f>
        <v>829161.78127937857</v>
      </c>
      <c r="AL78" s="51">
        <f>SUM(AE79:$AF$86)*$G$14/D78</f>
        <v>230084.38759214393</v>
      </c>
      <c r="AM78" s="51"/>
      <c r="AN78" s="51">
        <f ca="1">-SUM(AD78:$AD$86,AH78:$AH$86)/D78</f>
        <v>6840317.80512542</v>
      </c>
      <c r="AO78" s="51">
        <f ca="1">-SUM(W78:$W$86,AA78:$AA$86)</f>
        <v>6916616.0196849545</v>
      </c>
      <c r="AQ78" s="9">
        <f t="shared" ca="1" si="52"/>
        <v>21625.045134313405</v>
      </c>
      <c r="AR78" s="9">
        <f t="shared" si="53"/>
        <v>1344.0442752187955</v>
      </c>
      <c r="AS78" s="9">
        <f t="shared" ca="1" si="54"/>
        <v>23176.430706313811</v>
      </c>
    </row>
    <row r="79" spans="1:45" outlineLevel="1" x14ac:dyDescent="0.55000000000000004">
      <c r="A79" s="9"/>
      <c r="B79" s="1" t="s">
        <v>7</v>
      </c>
      <c r="C79" s="3">
        <v>2</v>
      </c>
      <c r="D79" s="87">
        <f t="shared" ref="D79:D85" si="66">D78/(1+IF(C79&lt;$F$8,$F$17,$G$17))^(1/4)</f>
        <v>0.99014754297667418</v>
      </c>
      <c r="E79" s="4"/>
      <c r="F79" s="112">
        <f t="shared" si="55"/>
        <v>0.89442719099991586</v>
      </c>
      <c r="G79" s="84">
        <f t="shared" ref="G79:G85" si="67">AVERAGE(F78:F79)</f>
        <v>0.92008440000154579</v>
      </c>
      <c r="H79" s="154">
        <f t="shared" ref="H79:H85" si="68">F79*D79</f>
        <v>0.88561488554009515</v>
      </c>
      <c r="I79" s="4"/>
      <c r="J79" s="116">
        <f t="shared" si="56"/>
        <v>1</v>
      </c>
      <c r="K79" s="156">
        <f t="shared" si="57"/>
        <v>0.125</v>
      </c>
      <c r="L79" s="155">
        <f t="shared" ref="L79:L85" si="69">J79*G79</f>
        <v>0.92008440000154579</v>
      </c>
      <c r="M79" s="155">
        <f t="shared" ref="M79:M85" si="70">L79*D79</f>
        <v>0.91101930799269804</v>
      </c>
      <c r="N79" s="4"/>
      <c r="O79" s="116">
        <f t="shared" si="58"/>
        <v>1</v>
      </c>
      <c r="P79" s="94">
        <f t="shared" si="59"/>
        <v>0.125</v>
      </c>
      <c r="Q79" s="155">
        <f t="shared" ref="Q79:Q85" si="71">O79*G79</f>
        <v>0.92008440000154579</v>
      </c>
      <c r="R79" s="155">
        <f t="shared" ref="R79:R85" si="72">Q79*D79</f>
        <v>0.91101930799269804</v>
      </c>
      <c r="S79" s="51"/>
      <c r="T79" s="139">
        <f t="shared" si="60"/>
        <v>0.17818906429460918</v>
      </c>
      <c r="U79" s="136">
        <f t="shared" ref="U79:U85" si="73">T79/$T$88</f>
        <v>0.18404599998720564</v>
      </c>
      <c r="W79" s="63">
        <f t="shared" si="49"/>
        <v>-1006230.5898749053</v>
      </c>
      <c r="X79" s="63">
        <f t="shared" ref="X79:X85" si="74">$F$21*IF(C79&lt;$F$8,$F$11,$G$11)*P79*((1+$F$18)^(MIN($F$8-1,C79)/4))*((1+$G$18)^(MAX(0,C79-$F$8+1)/4))*F79</f>
        <v>606749.53646459419</v>
      </c>
      <c r="Y79" s="63">
        <f t="shared" ref="Y79:Y85" si="75">$F$21*IF(C79&lt;$F$8,$F$12,$G$12)*IF($F$28="risk",P79*F79,IF($F$28="policies IF",F79/($F$7*4),1/($F$7*4)))</f>
        <v>150934.58848123581</v>
      </c>
      <c r="Z79" s="63">
        <v>0</v>
      </c>
      <c r="AA79" s="63">
        <f t="shared" ca="1" si="61"/>
        <v>0</v>
      </c>
      <c r="AB79" s="64">
        <f t="shared" ca="1" si="62"/>
        <v>-248546.4649290753</v>
      </c>
      <c r="AC79" s="51"/>
      <c r="AD79" s="51">
        <f t="shared" si="50"/>
        <v>-996316.74623260705</v>
      </c>
      <c r="AE79" s="64">
        <f t="shared" si="63"/>
        <v>600771.56273265393</v>
      </c>
      <c r="AF79" s="64">
        <f t="shared" si="63"/>
        <v>149447.51193489108</v>
      </c>
      <c r="AG79" s="51">
        <f t="shared" si="51"/>
        <v>0</v>
      </c>
      <c r="AH79" s="64">
        <f t="shared" ca="1" si="64"/>
        <v>0</v>
      </c>
      <c r="AI79" s="64">
        <f t="shared" ca="1" si="65"/>
        <v>-246097.67156506205</v>
      </c>
      <c r="AJ79" s="57"/>
      <c r="AK79" s="51">
        <f ca="1">SUM(AD79:AD$85,AG79:AG$85)/D79+SUM(AE80:AF$86,AH80:AH$85)/D79</f>
        <v>1144832.3968985667</v>
      </c>
      <c r="AL79" s="51">
        <f>SUM(AE80:$AF$86)*$G$14/D79</f>
        <v>208495.75691545135</v>
      </c>
      <c r="AM79" s="51"/>
      <c r="AN79" s="51">
        <f ca="1">-SUM(AD79:$AD$86,AH79:$AH$86)/D79</f>
        <v>5805026.1669498114</v>
      </c>
      <c r="AO79" s="51">
        <f ca="1">-SUM(W79:$W$86,AA79:$AA$86)</f>
        <v>5852656.7095563821</v>
      </c>
      <c r="AQ79" s="9">
        <f t="shared" ca="1" si="52"/>
        <v>21732.368753581308</v>
      </c>
      <c r="AR79" s="9">
        <f t="shared" si="53"/>
        <v>1350.7146749880922</v>
      </c>
      <c r="AS79" s="9">
        <f t="shared" ca="1" si="54"/>
        <v>23291.453746020794</v>
      </c>
    </row>
    <row r="80" spans="1:45" outlineLevel="1" x14ac:dyDescent="0.55000000000000004">
      <c r="A80" s="9"/>
      <c r="B80" s="1" t="s">
        <v>8</v>
      </c>
      <c r="C80" s="3">
        <v>3</v>
      </c>
      <c r="D80" s="87">
        <f t="shared" si="66"/>
        <v>0.98525777605216036</v>
      </c>
      <c r="E80" s="4"/>
      <c r="F80" s="112">
        <f t="shared" si="55"/>
        <v>0.84589701075245127</v>
      </c>
      <c r="G80" s="84">
        <f t="shared" si="67"/>
        <v>0.87016210087618351</v>
      </c>
      <c r="H80" s="154">
        <f t="shared" si="68"/>
        <v>0.83342660758313047</v>
      </c>
      <c r="I80" s="4"/>
      <c r="J80" s="116">
        <f t="shared" si="56"/>
        <v>1</v>
      </c>
      <c r="K80" s="156">
        <f t="shared" si="57"/>
        <v>0.125</v>
      </c>
      <c r="L80" s="155">
        <f t="shared" si="69"/>
        <v>0.87016210087618351</v>
      </c>
      <c r="M80" s="155">
        <f t="shared" si="70"/>
        <v>0.85733397631414421</v>
      </c>
      <c r="N80" s="4"/>
      <c r="O80" s="116">
        <f t="shared" si="58"/>
        <v>1</v>
      </c>
      <c r="P80" s="94">
        <f t="shared" si="59"/>
        <v>0.125</v>
      </c>
      <c r="Q80" s="155">
        <f t="shared" si="71"/>
        <v>0.87016210087618351</v>
      </c>
      <c r="R80" s="155">
        <f t="shared" si="72"/>
        <v>0.85733397631414421</v>
      </c>
      <c r="S80" s="51"/>
      <c r="T80" s="139">
        <f t="shared" si="60"/>
        <v>0.20194032380116383</v>
      </c>
      <c r="U80" s="136">
        <f t="shared" si="73"/>
        <v>0.20857794488597978</v>
      </c>
      <c r="W80" s="63">
        <f t="shared" si="49"/>
        <v>-951634.13709650771</v>
      </c>
      <c r="X80" s="63">
        <f t="shared" si="74"/>
        <v>575257.50511209294</v>
      </c>
      <c r="Y80" s="63">
        <f t="shared" si="75"/>
        <v>142745.12056447615</v>
      </c>
      <c r="Z80" s="63">
        <v>0</v>
      </c>
      <c r="AA80" s="63">
        <f t="shared" ca="1" si="61"/>
        <v>0</v>
      </c>
      <c r="AB80" s="64">
        <f t="shared" ca="1" si="62"/>
        <v>-233631.51141993862</v>
      </c>
      <c r="AC80" s="51"/>
      <c r="AD80" s="51">
        <f t="shared" si="50"/>
        <v>-937604.93353102182</v>
      </c>
      <c r="AE80" s="64">
        <f t="shared" si="63"/>
        <v>566776.93014405493</v>
      </c>
      <c r="AF80" s="64">
        <f t="shared" si="63"/>
        <v>140640.74002965327</v>
      </c>
      <c r="AG80" s="51">
        <f t="shared" si="51"/>
        <v>0</v>
      </c>
      <c r="AH80" s="64">
        <f t="shared" ca="1" si="64"/>
        <v>0</v>
      </c>
      <c r="AI80" s="64">
        <f t="shared" ca="1" si="65"/>
        <v>-230187.26335731361</v>
      </c>
      <c r="AJ80" s="57"/>
      <c r="AK80" s="51">
        <f ca="1">SUM(AD80:AD$85,AG80:AG$85)/D80+SUM(AE81:AF$86,AH81:AH$85)/D80</f>
        <v>1443735.9395099115</v>
      </c>
      <c r="AL80" s="51">
        <f>SUM(AE81:$AF$86)*$G$14/D80</f>
        <v>187990.42832002899</v>
      </c>
      <c r="AM80" s="51"/>
      <c r="AN80" s="51">
        <f ca="1">-SUM(AD80:$AD$86,AH80:$AH$86)/D80</f>
        <v>4822611.6711577214</v>
      </c>
      <c r="AO80" s="51">
        <f ca="1">-SUM(W80:$W$86,AA80:$AA$86)</f>
        <v>4846426.1196814766</v>
      </c>
      <c r="AQ80" s="9">
        <f t="shared" ca="1" si="52"/>
        <v>21840.225012629293</v>
      </c>
      <c r="AR80" s="9">
        <f t="shared" si="53"/>
        <v>1357.4181794949691</v>
      </c>
      <c r="AS80" s="9">
        <f t="shared" ca="1" si="54"/>
        <v>23407.047637202777</v>
      </c>
    </row>
    <row r="81" spans="1:45" outlineLevel="1" x14ac:dyDescent="0.55000000000000004">
      <c r="A81" s="9"/>
      <c r="B81" s="1" t="s">
        <v>9</v>
      </c>
      <c r="C81" s="3">
        <v>4</v>
      </c>
      <c r="D81" s="87">
        <f t="shared" si="66"/>
        <v>0.98280991173509202</v>
      </c>
      <c r="E81" s="4"/>
      <c r="F81" s="112">
        <f t="shared" si="55"/>
        <v>0.9</v>
      </c>
      <c r="G81" s="84">
        <f t="shared" si="67"/>
        <v>0.87294850537622559</v>
      </c>
      <c r="H81" s="154">
        <f t="shared" si="68"/>
        <v>0.88452892056158283</v>
      </c>
      <c r="I81" s="4"/>
      <c r="J81" s="116">
        <f t="shared" si="56"/>
        <v>1</v>
      </c>
      <c r="K81" s="156">
        <f t="shared" si="57"/>
        <v>0.125</v>
      </c>
      <c r="L81" s="155">
        <f t="shared" si="69"/>
        <v>0.87294850537622559</v>
      </c>
      <c r="M81" s="155">
        <f t="shared" si="70"/>
        <v>0.85794244351808879</v>
      </c>
      <c r="N81" s="4"/>
      <c r="O81" s="116">
        <f t="shared" si="58"/>
        <v>1</v>
      </c>
      <c r="P81" s="94">
        <f t="shared" si="59"/>
        <v>0.125</v>
      </c>
      <c r="Q81" s="155">
        <f t="shared" si="71"/>
        <v>0.87294850537622559</v>
      </c>
      <c r="R81" s="155">
        <f t="shared" si="72"/>
        <v>0.85794244351808879</v>
      </c>
      <c r="S81" s="51"/>
      <c r="T81" s="139">
        <f t="shared" si="60"/>
        <v>0.20709640104961757</v>
      </c>
      <c r="U81" s="136">
        <f t="shared" si="73"/>
        <v>0.21390349837580555</v>
      </c>
      <c r="W81" s="63">
        <f t="shared" si="49"/>
        <v>-1012500</v>
      </c>
      <c r="X81" s="63">
        <f t="shared" si="74"/>
        <v>1225628.4223685423</v>
      </c>
      <c r="Y81" s="63">
        <f t="shared" si="75"/>
        <v>101250</v>
      </c>
      <c r="Z81" s="63">
        <v>0</v>
      </c>
      <c r="AA81" s="63">
        <f t="shared" ca="1" si="61"/>
        <v>0</v>
      </c>
      <c r="AB81" s="64">
        <f t="shared" ca="1" si="62"/>
        <v>314378.42236854229</v>
      </c>
      <c r="AC81" s="51"/>
      <c r="AD81" s="51">
        <f t="shared" si="50"/>
        <v>-995095.03563178063</v>
      </c>
      <c r="AE81" s="64">
        <f t="shared" si="63"/>
        <v>1204559.7616080472</v>
      </c>
      <c r="AF81" s="64">
        <f t="shared" si="63"/>
        <v>99509.503563178063</v>
      </c>
      <c r="AG81" s="51">
        <f t="shared" si="51"/>
        <v>0</v>
      </c>
      <c r="AH81" s="64">
        <f t="shared" ca="1" si="64"/>
        <v>0</v>
      </c>
      <c r="AI81" s="64">
        <f t="shared" ca="1" si="65"/>
        <v>308974.22953944461</v>
      </c>
      <c r="AJ81" s="57"/>
      <c r="AK81" s="51">
        <f ca="1">SUM(AD81:AD$85,AG81:AG$85)/D81+SUM(AE82:AF$86,AH82:AH$85)/D81</f>
        <v>1074457.7529378249</v>
      </c>
      <c r="AL81" s="51">
        <f>SUM(AE82:$AF$86)*$G$14/D81</f>
        <v>148652.29952007977</v>
      </c>
      <c r="AM81" s="51"/>
      <c r="AN81" s="51">
        <f ca="1">-SUM(AD81:$AD$86,AH81:$AH$86)/D81</f>
        <v>3880618.8977315011</v>
      </c>
      <c r="AO81" s="51">
        <f ca="1">-SUM(W81:$W$86,AA81:$AA$86)</f>
        <v>3894791.9825849691</v>
      </c>
      <c r="AQ81" s="9">
        <f t="shared" ca="1" si="52"/>
        <v>16026.657472162042</v>
      </c>
      <c r="AR81" s="9">
        <f t="shared" si="53"/>
        <v>899.39519197348272</v>
      </c>
      <c r="AS81" s="9">
        <f t="shared" ca="1" si="54"/>
        <v>13953.182260288391</v>
      </c>
    </row>
    <row r="82" spans="1:45" outlineLevel="1" x14ac:dyDescent="0.55000000000000004">
      <c r="A82" s="9"/>
      <c r="B82" s="1" t="s">
        <v>16</v>
      </c>
      <c r="C82" s="3">
        <v>5</v>
      </c>
      <c r="D82" s="87">
        <f t="shared" si="66"/>
        <v>0.98036812911548443</v>
      </c>
      <c r="E82" s="4"/>
      <c r="F82" s="112">
        <f t="shared" si="55"/>
        <v>0.87660337178276715</v>
      </c>
      <c r="G82" s="84">
        <f t="shared" si="67"/>
        <v>0.88830168589138359</v>
      </c>
      <c r="H82" s="154">
        <f t="shared" si="68"/>
        <v>0.85939400757099682</v>
      </c>
      <c r="I82" s="4"/>
      <c r="J82" s="116">
        <f t="shared" si="56"/>
        <v>1</v>
      </c>
      <c r="K82" s="156">
        <f t="shared" si="57"/>
        <v>0.125</v>
      </c>
      <c r="L82" s="155">
        <f t="shared" si="69"/>
        <v>0.88830168589138359</v>
      </c>
      <c r="M82" s="155">
        <f t="shared" si="70"/>
        <v>0.87086266188746642</v>
      </c>
      <c r="N82" s="4"/>
      <c r="O82" s="116">
        <f t="shared" si="58"/>
        <v>1</v>
      </c>
      <c r="P82" s="94">
        <f t="shared" si="59"/>
        <v>0.125</v>
      </c>
      <c r="Q82" s="155">
        <f t="shared" si="71"/>
        <v>0.88830168589138359</v>
      </c>
      <c r="R82" s="155">
        <f t="shared" si="72"/>
        <v>0.87086266188746642</v>
      </c>
      <c r="S82" s="51"/>
      <c r="T82" s="139">
        <f t="shared" si="60"/>
        <v>8.3175297485096111E-2</v>
      </c>
      <c r="U82" s="136">
        <f t="shared" si="73"/>
        <v>8.5909204700509473E-2</v>
      </c>
      <c r="W82" s="63">
        <f t="shared" si="49"/>
        <v>-986178.79325561307</v>
      </c>
      <c r="X82" s="63">
        <f t="shared" si="74"/>
        <v>1195256.0936980993</v>
      </c>
      <c r="Y82" s="63">
        <f t="shared" si="75"/>
        <v>98617.879325561298</v>
      </c>
      <c r="Z82" s="63">
        <v>0</v>
      </c>
      <c r="AA82" s="63">
        <f t="shared" ca="1" si="61"/>
        <v>0</v>
      </c>
      <c r="AB82" s="64">
        <f t="shared" ca="1" si="62"/>
        <v>307695.17976804747</v>
      </c>
      <c r="AC82" s="51"/>
      <c r="AD82" s="51">
        <f t="shared" si="50"/>
        <v>-966818.25851737149</v>
      </c>
      <c r="AE82" s="64">
        <f t="shared" si="63"/>
        <v>1171790.9803926877</v>
      </c>
      <c r="AF82" s="64">
        <f t="shared" si="63"/>
        <v>96681.825851737143</v>
      </c>
      <c r="AG82" s="51">
        <f t="shared" si="51"/>
        <v>0</v>
      </c>
      <c r="AH82" s="64">
        <f t="shared" ca="1" si="64"/>
        <v>0</v>
      </c>
      <c r="AI82" s="64">
        <f t="shared" ca="1" si="65"/>
        <v>301654.5477270534</v>
      </c>
      <c r="AJ82" s="57"/>
      <c r="AK82" s="51">
        <f ca="1">SUM(AD82:AD$85,AG82:AG$85)/D82+SUM(AE83:AF$86,AH83:AH$85)/D82</f>
        <v>798281.72241926845</v>
      </c>
      <c r="AL82" s="51">
        <f>SUM(AE83:$AF$86)*$G$14/D82</f>
        <v>110206.32553681088</v>
      </c>
      <c r="AM82" s="51"/>
      <c r="AN82" s="51">
        <f ca="1">-SUM(AD82:$AD$86,AH82:$AH$86)/D82</f>
        <v>2875262.4621410947</v>
      </c>
      <c r="AO82" s="51">
        <f ca="1">-SUM(W82:$W$86,AA82:$AA$86)</f>
        <v>2882291.9825849691</v>
      </c>
      <c r="AQ82" s="9">
        <f t="shared" ca="1" si="52"/>
        <v>10946.710657649674</v>
      </c>
      <c r="AR82" s="9">
        <f t="shared" si="53"/>
        <v>536.35284549189964</v>
      </c>
      <c r="AS82" s="9">
        <f t="shared" ca="1" si="54"/>
        <v>6931.7175254141912</v>
      </c>
    </row>
    <row r="83" spans="1:45" outlineLevel="1" x14ac:dyDescent="0.55000000000000004">
      <c r="A83" s="9"/>
      <c r="B83" s="1" t="s">
        <v>17</v>
      </c>
      <c r="C83" s="3">
        <v>6</v>
      </c>
      <c r="D83" s="87">
        <f t="shared" si="66"/>
        <v>0.97793241308341339</v>
      </c>
      <c r="E83" s="4"/>
      <c r="F83" s="112">
        <f t="shared" si="55"/>
        <v>0.85381496824546244</v>
      </c>
      <c r="G83" s="84">
        <f t="shared" si="67"/>
        <v>0.86520917001411479</v>
      </c>
      <c r="H83" s="154">
        <f t="shared" si="68"/>
        <v>0.83497333222302306</v>
      </c>
      <c r="I83" s="4"/>
      <c r="J83" s="116">
        <f t="shared" si="56"/>
        <v>1</v>
      </c>
      <c r="K83" s="156">
        <f t="shared" si="57"/>
        <v>0.125</v>
      </c>
      <c r="L83" s="155">
        <f t="shared" si="69"/>
        <v>0.86520917001411479</v>
      </c>
      <c r="M83" s="155">
        <f t="shared" si="70"/>
        <v>0.84611609145380051</v>
      </c>
      <c r="N83" s="4"/>
      <c r="O83" s="116">
        <f t="shared" si="58"/>
        <v>1</v>
      </c>
      <c r="P83" s="94">
        <f t="shared" si="59"/>
        <v>0.125</v>
      </c>
      <c r="Q83" s="155">
        <f t="shared" si="71"/>
        <v>0.86520917001411479</v>
      </c>
      <c r="R83" s="155">
        <f t="shared" si="72"/>
        <v>0.84611609145380051</v>
      </c>
      <c r="S83" s="51"/>
      <c r="T83" s="139">
        <f t="shared" si="60"/>
        <v>5.1890782453176132E-2</v>
      </c>
      <c r="U83" s="136">
        <f t="shared" si="73"/>
        <v>5.3596392037411206E-2</v>
      </c>
      <c r="W83" s="63">
        <f t="shared" si="49"/>
        <v>-960541.83927614521</v>
      </c>
      <c r="X83" s="63">
        <f t="shared" si="74"/>
        <v>1165636.4224661011</v>
      </c>
      <c r="Y83" s="63">
        <f t="shared" si="75"/>
        <v>96054.183927614518</v>
      </c>
      <c r="Z83" s="63">
        <v>0</v>
      </c>
      <c r="AA83" s="63">
        <f t="shared" ca="1" si="61"/>
        <v>0</v>
      </c>
      <c r="AB83" s="64">
        <f t="shared" ca="1" si="62"/>
        <v>301148.76711757045</v>
      </c>
      <c r="AC83" s="51"/>
      <c r="AD83" s="51">
        <f t="shared" si="50"/>
        <v>-939344.99875090097</v>
      </c>
      <c r="AE83" s="64">
        <f t="shared" si="63"/>
        <v>1139913.6394001914</v>
      </c>
      <c r="AF83" s="64">
        <f t="shared" si="63"/>
        <v>93934.499875090085</v>
      </c>
      <c r="AG83" s="51">
        <f t="shared" si="51"/>
        <v>0</v>
      </c>
      <c r="AH83" s="64">
        <f t="shared" ca="1" si="64"/>
        <v>0</v>
      </c>
      <c r="AI83" s="64">
        <f t="shared" ca="1" si="65"/>
        <v>294503.14052438049</v>
      </c>
      <c r="AJ83" s="57"/>
      <c r="AK83" s="51">
        <f ca="1">SUM(AD83:AD$85,AG83:AG$85)/D83+SUM(AE84:AF$86,AH84:AH$85)/D83</f>
        <v>527214.42817477975</v>
      </c>
      <c r="AL83" s="51">
        <f>SUM(AE84:$AF$86)*$G$14/D83</f>
        <v>72630.095960321283</v>
      </c>
      <c r="AM83" s="51"/>
      <c r="AN83" s="51">
        <f ca="1">-SUM(AD83:$AD$86,AH83:$AH$86)/D83</f>
        <v>1893788.7705025966</v>
      </c>
      <c r="AO83" s="51">
        <f ca="1">-SUM(W83:$W$86,AA83:$AA$86)</f>
        <v>1896113.189329356</v>
      </c>
      <c r="AQ83" s="9">
        <f t="shared" ca="1" si="52"/>
        <v>6589.4018928306177</v>
      </c>
      <c r="AR83" s="9">
        <f t="shared" si="53"/>
        <v>266.55689071162487</v>
      </c>
      <c r="AS83" s="9">
        <f t="shared" ca="1" si="54"/>
        <v>2295.8277975567617</v>
      </c>
    </row>
    <row r="84" spans="1:45" outlineLevel="1" x14ac:dyDescent="0.55000000000000004">
      <c r="A84" s="9"/>
      <c r="B84" s="1" t="s">
        <v>18</v>
      </c>
      <c r="C84" s="3">
        <v>7</v>
      </c>
      <c r="D84" s="87">
        <f t="shared" si="66"/>
        <v>0.97550274856649544</v>
      </c>
      <c r="E84" s="4"/>
      <c r="F84" s="112">
        <f t="shared" si="55"/>
        <v>0.83161897782507621</v>
      </c>
      <c r="G84" s="84">
        <f t="shared" si="67"/>
        <v>0.84271697303526927</v>
      </c>
      <c r="H84" s="154">
        <f t="shared" si="68"/>
        <v>0.8112465986284213</v>
      </c>
      <c r="I84" s="4"/>
      <c r="J84" s="116">
        <f t="shared" si="56"/>
        <v>1</v>
      </c>
      <c r="K84" s="156">
        <f t="shared" si="57"/>
        <v>0.125</v>
      </c>
      <c r="L84" s="155">
        <f t="shared" si="69"/>
        <v>0.84271697303526927</v>
      </c>
      <c r="M84" s="155">
        <f t="shared" si="70"/>
        <v>0.82207272345954241</v>
      </c>
      <c r="N84" s="4"/>
      <c r="O84" s="116">
        <f t="shared" si="58"/>
        <v>1</v>
      </c>
      <c r="P84" s="94">
        <f t="shared" si="59"/>
        <v>0.125</v>
      </c>
      <c r="Q84" s="155">
        <f t="shared" si="71"/>
        <v>0.84271697303526927</v>
      </c>
      <c r="R84" s="155">
        <f t="shared" si="72"/>
        <v>0.82207272345954241</v>
      </c>
      <c r="S84" s="51"/>
      <c r="T84" s="139">
        <f t="shared" si="60"/>
        <v>2.7830892374108518E-2</v>
      </c>
      <c r="U84" s="136">
        <f t="shared" si="73"/>
        <v>2.8745672119700673E-2</v>
      </c>
      <c r="W84" s="63">
        <f t="shared" si="49"/>
        <v>-935571.35005321074</v>
      </c>
      <c r="X84" s="63">
        <f t="shared" si="74"/>
        <v>1136750.7570496912</v>
      </c>
      <c r="Y84" s="63">
        <f t="shared" si="75"/>
        <v>93557.135005321077</v>
      </c>
      <c r="Z84" s="63">
        <v>0</v>
      </c>
      <c r="AA84" s="63">
        <f t="shared" ca="1" si="61"/>
        <v>0</v>
      </c>
      <c r="AB84" s="64">
        <f t="shared" ca="1" si="62"/>
        <v>294736.54200180148</v>
      </c>
      <c r="AC84" s="51"/>
      <c r="AD84" s="51">
        <f t="shared" si="50"/>
        <v>-912652.42345697398</v>
      </c>
      <c r="AE84" s="64">
        <f t="shared" si="63"/>
        <v>1108903.4879370183</v>
      </c>
      <c r="AF84" s="64">
        <f t="shared" si="63"/>
        <v>91265.242345697392</v>
      </c>
      <c r="AG84" s="51">
        <f t="shared" si="51"/>
        <v>0</v>
      </c>
      <c r="AH84" s="64">
        <f t="shared" ca="1" si="64"/>
        <v>0</v>
      </c>
      <c r="AI84" s="64">
        <f t="shared" ca="1" si="65"/>
        <v>287516.30682574166</v>
      </c>
      <c r="AJ84" s="57"/>
      <c r="AK84" s="51">
        <f ca="1">SUM(AD84:AD$85,AG84:AG$85)/D84+SUM(AE85:AF$86,AH85:AH$85)/D84</f>
        <v>261153.89915600466</v>
      </c>
      <c r="AL84" s="51">
        <f>SUM(AE85:$AF$86)*$G$14/D84</f>
        <v>35901.757476276463</v>
      </c>
      <c r="AM84" s="51"/>
      <c r="AN84" s="51">
        <f ca="1">-SUM(AD84:$AD$86,AH84:$AH$86)/D84</f>
        <v>935571.35005321074</v>
      </c>
      <c r="AO84" s="51">
        <f ca="1">-SUM(W84:$W$86,AA84:$AA$86)</f>
        <v>935571.35005321074</v>
      </c>
      <c r="AQ84" s="9">
        <f t="shared" ca="1" si="52"/>
        <v>2943.9958506608382</v>
      </c>
      <c r="AR84" s="9">
        <f t="shared" si="53"/>
        <v>88.319875519824564</v>
      </c>
      <c r="AS84" s="9">
        <f t="shared" ca="1" si="54"/>
        <v>0</v>
      </c>
    </row>
    <row r="85" spans="1:45" outlineLevel="1" x14ac:dyDescent="0.55000000000000004">
      <c r="A85" s="9"/>
      <c r="B85" s="1" t="s">
        <v>19</v>
      </c>
      <c r="C85" s="3">
        <v>8</v>
      </c>
      <c r="D85" s="87">
        <f t="shared" si="66"/>
        <v>0.97307912052979406</v>
      </c>
      <c r="E85" s="4"/>
      <c r="F85" s="112">
        <f t="shared" si="55"/>
        <v>0.81</v>
      </c>
      <c r="G85" s="84">
        <f t="shared" si="67"/>
        <v>0.82080948891253813</v>
      </c>
      <c r="H85" s="154">
        <f t="shared" si="68"/>
        <v>0.78819408762913323</v>
      </c>
      <c r="I85" s="4"/>
      <c r="J85" s="116">
        <f t="shared" si="56"/>
        <v>1</v>
      </c>
      <c r="K85" s="156">
        <f t="shared" si="57"/>
        <v>0.125</v>
      </c>
      <c r="L85" s="155">
        <f t="shared" si="69"/>
        <v>0.82080948891253813</v>
      </c>
      <c r="M85" s="155">
        <f t="shared" si="70"/>
        <v>0.79871257559352238</v>
      </c>
      <c r="N85" s="4"/>
      <c r="O85" s="116">
        <f t="shared" si="58"/>
        <v>1</v>
      </c>
      <c r="P85" s="94">
        <f t="shared" si="59"/>
        <v>0.125</v>
      </c>
      <c r="Q85" s="155">
        <f t="shared" si="71"/>
        <v>0.82080948891253813</v>
      </c>
      <c r="R85" s="155">
        <f t="shared" si="72"/>
        <v>0.79871257559352238</v>
      </c>
      <c r="S85" s="51"/>
      <c r="T85" s="139">
        <f t="shared" si="60"/>
        <v>1.5225286106495761E-2</v>
      </c>
      <c r="U85" s="136">
        <f t="shared" si="73"/>
        <v>1.5725729396773625E-2</v>
      </c>
      <c r="W85" s="63">
        <f t="shared" si="49"/>
        <v>0</v>
      </c>
      <c r="X85" s="63">
        <f t="shared" si="74"/>
        <v>1108580.9080323465</v>
      </c>
      <c r="Y85" s="63">
        <f t="shared" si="75"/>
        <v>91125</v>
      </c>
      <c r="Z85" s="63">
        <v>0</v>
      </c>
      <c r="AA85" s="63">
        <f t="shared" ca="1" si="61"/>
        <v>0</v>
      </c>
      <c r="AB85" s="64">
        <f t="shared" ca="1" si="62"/>
        <v>1199705.9080323465</v>
      </c>
      <c r="AC85" s="51"/>
      <c r="AD85" s="51">
        <f t="shared" si="50"/>
        <v>0</v>
      </c>
      <c r="AE85" s="64">
        <f t="shared" si="63"/>
        <v>1078736.9350242363</v>
      </c>
      <c r="AF85" s="64">
        <f t="shared" si="63"/>
        <v>88671.834858277478</v>
      </c>
      <c r="AG85" s="51">
        <f t="shared" si="51"/>
        <v>0</v>
      </c>
      <c r="AH85" s="64">
        <f t="shared" ca="1" si="64"/>
        <v>0</v>
      </c>
      <c r="AI85" s="64">
        <f t="shared" ca="1" si="65"/>
        <v>1167408.7698825139</v>
      </c>
      <c r="AJ85" s="57"/>
      <c r="AK85" s="51">
        <f ca="1">SUM(AD85:AD$85,AG85:AG$85)/D85+SUM(AE86:AF$86,AH$85:AH86)/D85</f>
        <v>0</v>
      </c>
      <c r="AL85" s="51">
        <f>SUM(AE86:$AF$86)*$G$14/D85</f>
        <v>0</v>
      </c>
      <c r="AM85" s="51"/>
      <c r="AN85" s="51">
        <f ca="1">-SUM(AD85:$AD$86,AH85:$AH$86)/D85</f>
        <v>0</v>
      </c>
      <c r="AO85" s="51">
        <f ca="1">-SUM(W85:$W$86,AA85:$AA$86)</f>
        <v>0</v>
      </c>
      <c r="AQ85" s="9">
        <f t="shared" ca="1" si="52"/>
        <v>0</v>
      </c>
      <c r="AR85" s="9">
        <f t="shared" si="53"/>
        <v>0</v>
      </c>
      <c r="AS85" s="9">
        <f t="shared" ca="1" si="54"/>
        <v>0</v>
      </c>
    </row>
    <row r="86" spans="1:45" outlineLevel="1" x14ac:dyDescent="0.55000000000000004">
      <c r="B86" s="8"/>
      <c r="C86" s="6"/>
      <c r="D86" s="7"/>
      <c r="E86" s="2"/>
      <c r="F86" s="113"/>
      <c r="G86" s="85"/>
      <c r="H86" s="79"/>
      <c r="I86" s="2"/>
      <c r="J86" s="6"/>
      <c r="K86" s="6"/>
      <c r="L86" s="71"/>
      <c r="M86" s="90"/>
      <c r="N86" s="2"/>
      <c r="O86" s="12"/>
      <c r="P86" s="12"/>
      <c r="Q86" s="50"/>
      <c r="R86" s="90"/>
      <c r="S86" s="55"/>
      <c r="T86" s="137"/>
      <c r="U86" s="137"/>
      <c r="W86" s="66"/>
      <c r="X86" s="66"/>
      <c r="Y86" s="66"/>
      <c r="Z86" s="66"/>
      <c r="AA86" s="66"/>
      <c r="AB86" s="66"/>
      <c r="AC86" s="55"/>
      <c r="AD86" s="67"/>
      <c r="AE86" s="68"/>
      <c r="AF86" s="68"/>
      <c r="AG86" s="67"/>
      <c r="AH86" s="67"/>
      <c r="AI86" s="68"/>
      <c r="AJ86" s="57"/>
      <c r="AK86" s="67"/>
      <c r="AL86" s="67"/>
      <c r="AM86" s="51"/>
      <c r="AN86" s="122"/>
      <c r="AO86" s="122"/>
      <c r="AQ86" s="67"/>
      <c r="AR86" s="67"/>
      <c r="AS86" s="67"/>
    </row>
    <row r="87" spans="1:45" outlineLevel="1" x14ac:dyDescent="0.55000000000000004">
      <c r="A87" s="9"/>
      <c r="B87" s="4"/>
      <c r="C87" s="4"/>
      <c r="D87" s="4"/>
      <c r="E87" s="4"/>
      <c r="F87" s="3"/>
      <c r="G87" s="3"/>
      <c r="H87" s="4"/>
      <c r="I87" s="4"/>
      <c r="J87" s="4"/>
      <c r="K87" s="4"/>
      <c r="L87" s="51"/>
      <c r="M87" s="51"/>
      <c r="N87" s="4"/>
      <c r="O87" s="4"/>
      <c r="P87" s="4"/>
      <c r="Q87" s="51"/>
      <c r="R87" s="51"/>
      <c r="S87" s="51"/>
      <c r="T87" s="4"/>
      <c r="U87" s="4"/>
      <c r="W87" s="51"/>
      <c r="X87" s="51"/>
      <c r="Y87" s="51"/>
      <c r="Z87" s="51"/>
      <c r="AA87" s="51"/>
      <c r="AB87" s="51"/>
      <c r="AC87" s="51"/>
      <c r="AD87" s="51"/>
      <c r="AE87" s="51"/>
      <c r="AF87" s="51"/>
      <c r="AG87" s="51"/>
      <c r="AH87" s="51"/>
      <c r="AI87" s="51"/>
      <c r="AJ87" s="57"/>
      <c r="AK87" s="51"/>
      <c r="AL87" s="51"/>
      <c r="AM87" s="51"/>
      <c r="AN87" s="70"/>
      <c r="AO87" s="70"/>
      <c r="AQ87" s="51"/>
      <c r="AR87" s="51"/>
      <c r="AS87" s="51"/>
    </row>
    <row r="88" spans="1:45" outlineLevel="1" x14ac:dyDescent="0.55000000000000004">
      <c r="A88" s="9"/>
      <c r="B88" s="24"/>
      <c r="C88" s="24"/>
      <c r="D88" s="25"/>
      <c r="E88" s="4"/>
      <c r="F88" s="26"/>
      <c r="G88" s="26"/>
      <c r="H88" s="26"/>
      <c r="I88" s="4"/>
      <c r="J88" s="80">
        <f>SUM(J78:J85)</f>
        <v>8</v>
      </c>
      <c r="K88" s="95">
        <f>SUM(K78:K85)</f>
        <v>1</v>
      </c>
      <c r="L88" s="81">
        <f>SUM(L78:L85)</f>
        <v>7.0531031286088499</v>
      </c>
      <c r="M88" s="81">
        <f>SUM(M78:M85)</f>
        <v>6.9321261376306973</v>
      </c>
      <c r="N88" s="4"/>
      <c r="O88" s="80">
        <f>SUM(O78:O85)</f>
        <v>8</v>
      </c>
      <c r="P88" s="95">
        <f>SUM(P78:P85)</f>
        <v>1</v>
      </c>
      <c r="Q88" s="81">
        <f>SUM(Q78:Q85)</f>
        <v>7.0531031286088499</v>
      </c>
      <c r="R88" s="81">
        <f>SUM(R78:R85)</f>
        <v>6.9321261376306973</v>
      </c>
      <c r="S88" s="52"/>
      <c r="T88" s="80">
        <f>SUM(T78:T85)</f>
        <v>0.9681767835595253</v>
      </c>
      <c r="U88" s="95">
        <f>SUM(U78:U85)</f>
        <v>1</v>
      </c>
      <c r="W88" s="52">
        <f t="shared" ref="W88:AB88" si="76">SUM(W77:W85)</f>
        <v>-8041616.0196849545</v>
      </c>
      <c r="X88" s="52">
        <f t="shared" si="76"/>
        <v>7653825.2201356208</v>
      </c>
      <c r="Y88" s="52">
        <f t="shared" si="76"/>
        <v>933877.80382349482</v>
      </c>
      <c r="Z88" s="52">
        <f t="shared" si="76"/>
        <v>-900000</v>
      </c>
      <c r="AA88" s="52">
        <f t="shared" ca="1" si="76"/>
        <v>0</v>
      </c>
      <c r="AB88" s="52">
        <f t="shared" ca="1" si="76"/>
        <v>-353912.99572583917</v>
      </c>
      <c r="AC88" s="51"/>
      <c r="AD88" s="52">
        <f t="shared" ref="AD88:AI88" si="77">SUM(AD77:AD85)</f>
        <v>-7931537.4256315595</v>
      </c>
      <c r="AE88" s="52">
        <f t="shared" si="77"/>
        <v>7508258.4517756142</v>
      </c>
      <c r="AF88" s="52">
        <f t="shared" si="77"/>
        <v>918956.91288516007</v>
      </c>
      <c r="AG88" s="52">
        <f t="shared" si="77"/>
        <v>-900000</v>
      </c>
      <c r="AH88" s="52">
        <f t="shared" ca="1" si="77"/>
        <v>0</v>
      </c>
      <c r="AI88" s="52">
        <f t="shared" ca="1" si="77"/>
        <v>-404322.06097078533</v>
      </c>
      <c r="AJ88" s="52"/>
      <c r="AK88" s="52"/>
      <c r="AL88" s="52"/>
      <c r="AM88" s="51"/>
      <c r="AN88" s="70"/>
      <c r="AO88" s="70"/>
      <c r="AQ88" s="52"/>
      <c r="AR88" s="52"/>
      <c r="AS88" s="52"/>
    </row>
    <row r="89" spans="1:45" ht="15.3" x14ac:dyDescent="0.55000000000000004">
      <c r="A89" s="9"/>
      <c r="B89" s="24"/>
      <c r="C89" s="24"/>
      <c r="D89" s="4"/>
      <c r="E89" s="4"/>
      <c r="F89" s="4"/>
      <c r="G89" s="4"/>
      <c r="H89" s="4"/>
      <c r="I89" s="4"/>
      <c r="J89" s="24"/>
      <c r="K89" s="24"/>
      <c r="L89" s="52"/>
      <c r="M89" s="52"/>
      <c r="N89" s="4"/>
      <c r="O89" s="24"/>
      <c r="P89" s="24"/>
      <c r="Q89" s="52"/>
      <c r="R89" s="52"/>
      <c r="S89" s="51"/>
      <c r="W89" s="52"/>
      <c r="X89" s="72"/>
      <c r="Y89" s="72"/>
      <c r="Z89" s="52"/>
      <c r="AA89" s="52"/>
      <c r="AB89" s="52"/>
      <c r="AC89" s="51"/>
      <c r="AD89" s="52"/>
      <c r="AE89" s="73"/>
      <c r="AF89" s="73"/>
      <c r="AG89" s="52"/>
      <c r="AH89" s="52"/>
      <c r="AI89" s="52"/>
      <c r="AJ89" s="57"/>
      <c r="AK89" s="52"/>
      <c r="AL89" s="52"/>
      <c r="AM89" s="51"/>
      <c r="AN89" s="51"/>
      <c r="AO89" s="51"/>
    </row>
    <row r="90" spans="1:45" ht="15.3" x14ac:dyDescent="0.55000000000000004">
      <c r="A90" s="9"/>
      <c r="B90" s="24"/>
      <c r="C90" s="24"/>
      <c r="D90" s="4"/>
      <c r="E90" s="4"/>
      <c r="F90" s="4"/>
      <c r="G90" s="4"/>
      <c r="H90" s="4"/>
      <c r="I90" s="4"/>
      <c r="J90" s="24"/>
      <c r="K90" s="24"/>
      <c r="L90" s="52"/>
      <c r="M90" s="52"/>
      <c r="N90" s="4"/>
      <c r="O90" s="24"/>
      <c r="P90" s="24"/>
      <c r="Q90" s="52"/>
      <c r="R90" s="52"/>
      <c r="S90" s="51"/>
      <c r="W90" s="52"/>
      <c r="X90" s="72"/>
      <c r="Y90" s="72"/>
      <c r="Z90" s="52"/>
      <c r="AA90" s="52"/>
      <c r="AB90" s="52"/>
      <c r="AC90" s="51"/>
      <c r="AD90" s="52"/>
      <c r="AE90" s="73"/>
      <c r="AF90" s="73"/>
      <c r="AG90" s="52"/>
      <c r="AH90" s="52"/>
      <c r="AI90" s="52"/>
      <c r="AJ90" s="57"/>
      <c r="AK90" s="52"/>
      <c r="AL90" s="52"/>
      <c r="AM90" s="51"/>
      <c r="AN90" s="51"/>
      <c r="AO90" s="51"/>
    </row>
    <row r="91" spans="1:45" ht="18.3" x14ac:dyDescent="0.55000000000000004">
      <c r="A91" s="2"/>
      <c r="B91" s="144" t="s">
        <v>174</v>
      </c>
      <c r="C91" s="108"/>
      <c r="D91" s="109"/>
      <c r="H91" s="106"/>
      <c r="J91" s="2"/>
      <c r="K91" s="2"/>
      <c r="N91" s="2"/>
      <c r="O91" s="2"/>
      <c r="P91" s="2"/>
      <c r="Q91" s="2"/>
      <c r="S91" s="2"/>
      <c r="T91" s="2"/>
      <c r="U91" s="2"/>
      <c r="V91" s="2"/>
      <c r="W91" s="2"/>
      <c r="X91" s="2"/>
      <c r="Y91" s="2"/>
      <c r="Z91" s="2"/>
      <c r="AA91" s="22"/>
      <c r="AB91" s="2"/>
      <c r="AC91" s="2"/>
      <c r="AD91" s="2"/>
      <c r="AE91" s="2"/>
      <c r="AF91" s="2"/>
      <c r="AG91" s="21"/>
      <c r="AH91" s="2"/>
      <c r="AI91" s="2"/>
      <c r="AJ91" s="2"/>
      <c r="AK91" s="2"/>
      <c r="AL91" s="2"/>
    </row>
    <row r="92" spans="1:45" s="2" customFormat="1" outlineLevel="1" x14ac:dyDescent="0.55000000000000004">
      <c r="A92"/>
      <c r="B92"/>
      <c r="C92"/>
      <c r="AL92" s="70"/>
      <c r="AM92" s="70"/>
      <c r="AN92" s="70"/>
    </row>
    <row r="93" spans="1:45" s="2" customFormat="1" ht="19.899999999999999" customHeight="1" outlineLevel="1" x14ac:dyDescent="0.55000000000000004">
      <c r="A93"/>
      <c r="B93" s="173" t="s">
        <v>10</v>
      </c>
      <c r="C93" s="173"/>
      <c r="D93" s="13"/>
      <c r="E93" s="175" t="s">
        <v>144</v>
      </c>
      <c r="F93" s="175"/>
      <c r="G93" s="175"/>
      <c r="H93" s="175"/>
      <c r="I93" s="175"/>
      <c r="J93" s="175"/>
      <c r="K93" s="175"/>
      <c r="L93" s="175"/>
      <c r="M93" s="175"/>
      <c r="O93" s="175" t="s">
        <v>341</v>
      </c>
      <c r="P93" s="175"/>
      <c r="Q93" s="175"/>
      <c r="R93" s="175"/>
      <c r="S93" s="175"/>
      <c r="T93" s="175"/>
      <c r="U93" s="175"/>
      <c r="W93" s="175" t="s">
        <v>145</v>
      </c>
      <c r="X93" s="175"/>
      <c r="Y93" s="175"/>
      <c r="Z93" s="175"/>
      <c r="AA93" s="175"/>
      <c r="AB93" s="175"/>
      <c r="AC93" s="175"/>
      <c r="AD93" s="175"/>
      <c r="AE93" s="175"/>
      <c r="AF93" s="110"/>
      <c r="AG93" s="175" t="s">
        <v>153</v>
      </c>
      <c r="AH93" s="175"/>
      <c r="AI93" s="175"/>
      <c r="AJ93" s="175"/>
      <c r="AK93" s="175"/>
      <c r="AL93" s="175"/>
      <c r="AM93" s="175"/>
      <c r="AN93" s="175"/>
      <c r="AO93" s="175"/>
      <c r="AQ93" s="70"/>
      <c r="AR93" s="70"/>
      <c r="AS93" s="70"/>
    </row>
    <row r="94" spans="1:45" s="2" customFormat="1" ht="30.6" customHeight="1" outlineLevel="1" x14ac:dyDescent="0.55000000000000004">
      <c r="A94"/>
      <c r="B94" s="146" t="s">
        <v>149</v>
      </c>
      <c r="C94" s="146" t="s">
        <v>10</v>
      </c>
      <c r="D94" s="13"/>
      <c r="E94" s="76" t="s">
        <v>11</v>
      </c>
      <c r="F94" s="76" t="s">
        <v>353</v>
      </c>
      <c r="G94" s="76" t="s">
        <v>354</v>
      </c>
      <c r="H94" s="76" t="s">
        <v>13</v>
      </c>
      <c r="I94" s="76" t="s">
        <v>355</v>
      </c>
      <c r="J94" s="76" t="s">
        <v>121</v>
      </c>
      <c r="K94" s="76" t="s">
        <v>356</v>
      </c>
      <c r="L94" s="76" t="s">
        <v>357</v>
      </c>
      <c r="M94" s="76" t="s">
        <v>15</v>
      </c>
      <c r="O94" s="76" t="s">
        <v>11</v>
      </c>
      <c r="P94" s="76" t="s">
        <v>353</v>
      </c>
      <c r="Q94" s="76" t="s">
        <v>13</v>
      </c>
      <c r="R94" s="76" t="s">
        <v>136</v>
      </c>
      <c r="S94" s="76" t="s">
        <v>356</v>
      </c>
      <c r="T94" s="76" t="s">
        <v>357</v>
      </c>
      <c r="U94" s="76" t="s">
        <v>15</v>
      </c>
      <c r="W94" s="76" t="s">
        <v>11</v>
      </c>
      <c r="X94" s="76" t="s">
        <v>353</v>
      </c>
      <c r="Y94" s="76" t="s">
        <v>13</v>
      </c>
      <c r="Z94" s="76" t="s">
        <v>399</v>
      </c>
      <c r="AA94" s="76" t="s">
        <v>356</v>
      </c>
      <c r="AB94" s="76" t="s">
        <v>402</v>
      </c>
      <c r="AC94" s="76" t="s">
        <v>403</v>
      </c>
      <c r="AD94" s="76" t="s">
        <v>136</v>
      </c>
      <c r="AE94" s="76" t="s">
        <v>15</v>
      </c>
      <c r="AF94" s="149"/>
      <c r="AG94" s="76" t="s">
        <v>11</v>
      </c>
      <c r="AH94" s="76" t="s">
        <v>353</v>
      </c>
      <c r="AI94" s="76" t="s">
        <v>13</v>
      </c>
      <c r="AJ94" s="76" t="s">
        <v>399</v>
      </c>
      <c r="AK94" s="76" t="s">
        <v>356</v>
      </c>
      <c r="AL94" s="76" t="s">
        <v>402</v>
      </c>
      <c r="AM94" s="76" t="s">
        <v>403</v>
      </c>
      <c r="AN94" s="76" t="s">
        <v>136</v>
      </c>
      <c r="AO94" s="76" t="s">
        <v>15</v>
      </c>
      <c r="AQ94" s="70"/>
      <c r="AR94" s="70"/>
      <c r="AS94" s="70"/>
    </row>
    <row r="95" spans="1:45" s="2" customFormat="1" outlineLevel="1" x14ac:dyDescent="0.55000000000000004">
      <c r="A95" s="19"/>
      <c r="B95" s="15" t="s">
        <v>276</v>
      </c>
      <c r="C95" s="15" t="s">
        <v>277</v>
      </c>
      <c r="D95" s="13"/>
      <c r="E95" s="16" t="s">
        <v>278</v>
      </c>
      <c r="F95" s="16" t="s">
        <v>279</v>
      </c>
      <c r="G95" s="16" t="s">
        <v>280</v>
      </c>
      <c r="H95" s="16" t="s">
        <v>281</v>
      </c>
      <c r="I95" s="16" t="s">
        <v>282</v>
      </c>
      <c r="J95" s="16" t="s">
        <v>283</v>
      </c>
      <c r="K95" s="16" t="s">
        <v>284</v>
      </c>
      <c r="L95" s="16" t="s">
        <v>285</v>
      </c>
      <c r="M95" s="16" t="s">
        <v>286</v>
      </c>
      <c r="O95" s="16" t="s">
        <v>287</v>
      </c>
      <c r="P95" s="16" t="s">
        <v>288</v>
      </c>
      <c r="Q95" s="16" t="s">
        <v>289</v>
      </c>
      <c r="R95" s="16" t="s">
        <v>290</v>
      </c>
      <c r="S95" s="16" t="s">
        <v>291</v>
      </c>
      <c r="T95" s="16" t="s">
        <v>292</v>
      </c>
      <c r="U95" s="16" t="s">
        <v>293</v>
      </c>
      <c r="W95" s="16" t="s">
        <v>294</v>
      </c>
      <c r="X95" s="16" t="s">
        <v>295</v>
      </c>
      <c r="Y95" s="16" t="s">
        <v>296</v>
      </c>
      <c r="Z95" s="16" t="s">
        <v>297</v>
      </c>
      <c r="AA95" s="16" t="s">
        <v>298</v>
      </c>
      <c r="AB95" s="16" t="s">
        <v>299</v>
      </c>
      <c r="AC95" s="16" t="s">
        <v>300</v>
      </c>
      <c r="AD95" s="16" t="s">
        <v>301</v>
      </c>
      <c r="AE95" s="16" t="s">
        <v>302</v>
      </c>
      <c r="AF95" s="150"/>
      <c r="AG95" s="16" t="s">
        <v>303</v>
      </c>
      <c r="AH95" s="16" t="s">
        <v>304</v>
      </c>
      <c r="AI95" s="16" t="s">
        <v>305</v>
      </c>
      <c r="AJ95" s="16" t="s">
        <v>306</v>
      </c>
      <c r="AK95" s="16" t="s">
        <v>400</v>
      </c>
      <c r="AL95" s="16" t="s">
        <v>404</v>
      </c>
      <c r="AM95" s="16" t="s">
        <v>405</v>
      </c>
      <c r="AN95" s="16" t="s">
        <v>406</v>
      </c>
      <c r="AO95" s="16" t="s">
        <v>407</v>
      </c>
      <c r="AQ95" s="70"/>
      <c r="AR95" s="70"/>
      <c r="AS95" s="70"/>
    </row>
    <row r="96" spans="1:45" s="2" customFormat="1" outlineLevel="1" x14ac:dyDescent="0.55000000000000004">
      <c r="A96"/>
      <c r="B96" s="1"/>
      <c r="C96" s="3">
        <v>0</v>
      </c>
      <c r="D96" s="13"/>
      <c r="E96" s="63"/>
      <c r="F96" s="63"/>
      <c r="G96" s="63"/>
      <c r="H96" s="63"/>
      <c r="I96" s="63"/>
      <c r="K96" s="63"/>
      <c r="L96" s="63"/>
      <c r="M96" s="63"/>
      <c r="O96" s="63"/>
      <c r="P96" s="63"/>
      <c r="Q96" s="4"/>
      <c r="R96" s="4"/>
      <c r="S96" s="4"/>
      <c r="T96" s="63"/>
      <c r="U96" s="4"/>
      <c r="W96" s="63"/>
      <c r="X96" s="4"/>
      <c r="Y96" s="4"/>
      <c r="Z96" s="4"/>
      <c r="AA96" s="4"/>
      <c r="AB96" s="4"/>
      <c r="AC96" s="4"/>
      <c r="AD96" s="4"/>
      <c r="AE96" s="4"/>
      <c r="AF96" s="149"/>
      <c r="AG96" s="63"/>
      <c r="AH96" s="4"/>
      <c r="AI96" s="4"/>
      <c r="AJ96" s="4"/>
      <c r="AK96" s="4"/>
      <c r="AL96" s="4"/>
      <c r="AM96" s="4"/>
      <c r="AN96" s="4"/>
      <c r="AO96" s="4"/>
      <c r="AQ96" s="70"/>
      <c r="AR96" s="70"/>
      <c r="AS96" s="70"/>
    </row>
    <row r="97" spans="1:52" s="2" customFormat="1" outlineLevel="1" x14ac:dyDescent="0.55000000000000004">
      <c r="A97" s="9"/>
      <c r="B97" s="1" t="s">
        <v>6</v>
      </c>
      <c r="C97" s="3">
        <v>1</v>
      </c>
      <c r="D97" s="13"/>
      <c r="E97" s="63">
        <f t="shared" ref="E97:E104" si="78">IF(C97=1,0,M96)</f>
        <v>0</v>
      </c>
      <c r="F97" s="63">
        <f t="shared" ref="F97:F104" ca="1" si="79">IF($C97=1,$AK$39,0)</f>
        <v>-3018049.3587192083</v>
      </c>
      <c r="G97" s="63">
        <f t="shared" ref="G97:G104" si="80">IF($C97&lt;=$F$8,-(W39+Z39),-(W77+Z77))</f>
        <v>2025000</v>
      </c>
      <c r="H97" s="63">
        <f t="shared" ref="H97:H104" ca="1" si="81">SUM(E97:G97)*((1+IF($C97&lt;=$F$8,$F$17,$G$17))^(1/4)-1)</f>
        <v>-4928.4360161373661</v>
      </c>
      <c r="I97" s="63">
        <f t="shared" ref="I97:I104" si="82">IF($C97&lt;=$F$8,-(X40+Y40),-(X78+Y78))</f>
        <v>-799559.47146343952</v>
      </c>
      <c r="J97" s="63">
        <f t="shared" ref="J97:J104" ca="1" si="83">IF($C97&lt;=$F$8,-(AA40),-(AA78))</f>
        <v>0</v>
      </c>
      <c r="K97" s="63">
        <f t="shared" ref="K97:K104" si="84">IF($C97=$F$8,AQ59,0)</f>
        <v>0</v>
      </c>
      <c r="L97" s="63">
        <f t="shared" ref="L97:L104" si="85">IF($C97=$F$8,AQ78,0)</f>
        <v>0</v>
      </c>
      <c r="M97" s="63">
        <f t="shared" ref="M97:M104" ca="1" si="86">SUM(E97:L97)</f>
        <v>-1797537.266198785</v>
      </c>
      <c r="N97" s="124"/>
      <c r="O97" s="63">
        <f t="shared" ref="O97:O104" si="87">IF(C97=1,0,U96)</f>
        <v>0</v>
      </c>
      <c r="P97" s="63">
        <f t="shared" ref="P97:P104" si="88">IF($C97=1,$AL$39,0)</f>
        <v>261454.42475421843</v>
      </c>
      <c r="Q97" s="4">
        <f t="shared" ref="Q97:Q104" si="89">SUM(O97:P97)*((1+IF($C97&lt;=$F$8,$F$17,$G$17))^(1/4)-1)</f>
        <v>1297.5804195665535</v>
      </c>
      <c r="R97" s="4">
        <f>U97-SUM(S97:T97,O97:Q97)</f>
        <v>-39977.973573171941</v>
      </c>
      <c r="S97" s="4">
        <f t="shared" ref="S97:S104" si="90">IF($C97=$F$8,AR59,0)</f>
        <v>0</v>
      </c>
      <c r="T97" s="63">
        <f t="shared" ref="T97:T104" si="91">IF($C97=$F$8,AR78,0)</f>
        <v>0</v>
      </c>
      <c r="U97" s="4">
        <f t="shared" ref="U97:U104" si="92">IF(C97&lt;$F$8,AL40,AL78)</f>
        <v>222774.03160061303</v>
      </c>
      <c r="V97" s="124"/>
      <c r="W97" s="63">
        <f t="shared" ref="W97:W104" si="93">IF(C97=1,0,AE96)</f>
        <v>0</v>
      </c>
      <c r="X97" s="4">
        <f t="shared" ref="X97:X104" ca="1" si="94">IF($C97=1,MAX(-F97-P97,0),0)</f>
        <v>2756594.9339649901</v>
      </c>
      <c r="Y97" s="4">
        <f ca="1">SUM(W97:X97)*((1+$F$17)^(1/4)-1)</f>
        <v>13680.792032308553</v>
      </c>
      <c r="Z97" s="4">
        <f ca="1">IF(AND(SUM(W97:Y97)&gt;=0,SUM(AG97:AI97)=0),IF(AND(C97=$F$8,$F$29="yes"),-(W59-W40),0),0)</f>
        <v>0</v>
      </c>
      <c r="AA97" s="4">
        <f ca="1">IF(AND(SUM(W97:Y97)&gt;=0,SUM(AG97:AI97)=0),-K97-S97,0)</f>
        <v>0</v>
      </c>
      <c r="AB97" s="4">
        <f ca="1">-MIN(SUM(W97:AA97),0)</f>
        <v>0</v>
      </c>
      <c r="AC97" s="4">
        <f ca="1">AM97</f>
        <v>0</v>
      </c>
      <c r="AD97" s="4">
        <f ca="1">-SUM(W97:AC97)*IFERROR(IF(C97&lt;$F$8,IF($F$23="yes",M40/SUM(M40:$M$48),L40/SUM(L40:$L$48)),IF($F$23="yes",M59/SUM(M59:$M$67),L59/SUM(L59:$L$67))),0)</f>
        <v>-424186.97644737025</v>
      </c>
      <c r="AE97" s="4">
        <f t="shared" ref="AE97:AE104" ca="1" si="95">SUM(W97:AD97)</f>
        <v>2346088.7495499281</v>
      </c>
      <c r="AF97" s="124"/>
      <c r="AG97" s="63">
        <f t="shared" ref="AG97:AG104" si="96">IF(C97=1,0,AO96)</f>
        <v>0</v>
      </c>
      <c r="AH97" s="4">
        <f t="shared" ref="AH97:AH104" ca="1" si="97">IF($C97=1,F97+P97+X97,0)</f>
        <v>0</v>
      </c>
      <c r="AI97" s="63">
        <f ca="1">SUM(AG97:AH97)*((1+IF($C97&lt;=$F$8,$F$17,$G$17))^(1/4)-1)</f>
        <v>0</v>
      </c>
      <c r="AJ97" s="63">
        <f>IF(AND(C97=$F$8,$F$29="yes"),(W59-W40)+Z97,0)</f>
        <v>0</v>
      </c>
      <c r="AK97" s="4">
        <f ca="1">K97+S97+AA97</f>
        <v>0</v>
      </c>
      <c r="AL97" s="4">
        <f t="shared" ref="AL97:AL104" ca="1" si="98">AB97</f>
        <v>0</v>
      </c>
      <c r="AM97" s="4">
        <f t="shared" ref="AM97:AM104" ca="1" si="99">-MIN(SUM(AG97:AK97),0)</f>
        <v>0</v>
      </c>
      <c r="AN97" s="4">
        <f ca="1">-SUM(AG97:AM97)*IFERROR(IF(C97&lt;$F$8,IF($F$23="yes",M40/SUM(M40:$M$48),L40/SUM(L40:$L$48)),IF($F$23="yes",M59/SUM(M59:$M$67),L59/SUM(L59:$L$67))),0)</f>
        <v>0</v>
      </c>
      <c r="AO97" s="4">
        <f t="shared" ref="AO97:AO104" ca="1" si="100">SUM(AG97:AN97)</f>
        <v>0</v>
      </c>
      <c r="AP97" s="124"/>
      <c r="AQ97" s="70"/>
      <c r="AR97" s="70"/>
      <c r="AS97" s="70"/>
      <c r="AU97" s="125"/>
      <c r="AV97" s="4"/>
      <c r="AX97" s="126"/>
      <c r="AZ97" s="4"/>
    </row>
    <row r="98" spans="1:52" s="2" customFormat="1" outlineLevel="1" x14ac:dyDescent="0.55000000000000004">
      <c r="A98" s="9"/>
      <c r="B98" s="1" t="s">
        <v>7</v>
      </c>
      <c r="C98" s="3">
        <v>2</v>
      </c>
      <c r="D98" s="13"/>
      <c r="E98" s="63">
        <f t="shared" ca="1" si="78"/>
        <v>-1797537.266198785</v>
      </c>
      <c r="F98" s="63">
        <f t="shared" si="79"/>
        <v>0</v>
      </c>
      <c r="G98" s="63">
        <f t="shared" si="80"/>
        <v>1063959.3101285729</v>
      </c>
      <c r="H98" s="63">
        <f t="shared" ca="1" si="81"/>
        <v>-3640.6971995871818</v>
      </c>
      <c r="I98" s="63">
        <f t="shared" si="82"/>
        <v>-757684.12494582997</v>
      </c>
      <c r="J98" s="63">
        <f t="shared" ca="1" si="83"/>
        <v>0</v>
      </c>
      <c r="K98" s="63">
        <f t="shared" si="84"/>
        <v>0</v>
      </c>
      <c r="L98" s="63">
        <f t="shared" si="85"/>
        <v>0</v>
      </c>
      <c r="M98" s="63">
        <f t="shared" ca="1" si="86"/>
        <v>-1494902.7782156293</v>
      </c>
      <c r="N98" s="124"/>
      <c r="O98" s="63">
        <f t="shared" si="87"/>
        <v>222774.03160061303</v>
      </c>
      <c r="P98" s="63">
        <f t="shared" si="88"/>
        <v>0</v>
      </c>
      <c r="Q98" s="4">
        <f t="shared" si="89"/>
        <v>1105.6122751205883</v>
      </c>
      <c r="R98" s="4">
        <f t="shared" ref="R98:R104" si="101">U98-SUM(S98:T98,O98:Q98)</f>
        <v>-37884.206247291528</v>
      </c>
      <c r="S98" s="4">
        <f t="shared" si="90"/>
        <v>0</v>
      </c>
      <c r="T98" s="63">
        <f t="shared" si="91"/>
        <v>0</v>
      </c>
      <c r="U98" s="4">
        <f t="shared" si="92"/>
        <v>185995.4376284421</v>
      </c>
      <c r="V98" s="124"/>
      <c r="W98" s="63">
        <f t="shared" ca="1" si="93"/>
        <v>2346088.7495499281</v>
      </c>
      <c r="X98" s="4">
        <f t="shared" si="94"/>
        <v>0</v>
      </c>
      <c r="Y98" s="4">
        <f t="shared" ref="Y98:Y104" ca="1" si="102">SUM(W98:X98)*((1+$F$17)^(1/4)-1)</f>
        <v>11643.477928679611</v>
      </c>
      <c r="Z98" s="4">
        <f t="shared" ref="Z98:Z104" ca="1" si="103">IF(AND(SUM(W98:Y98)&gt;=0,SUM(AG98:AI98)=0),IF(AND(C98=$F$8,$F$29="yes"),-(W60-W41),0),0)</f>
        <v>0</v>
      </c>
      <c r="AA98" s="4">
        <f t="shared" ref="AA98:AA104" ca="1" si="104">IF(AND(SUM(W98:Y98)&gt;=0,SUM(AG98:AI98)=0),-K98-S98,0)</f>
        <v>0</v>
      </c>
      <c r="AB98" s="4">
        <f t="shared" ref="AB98:AB104" ca="1" si="105">-MIN(SUM(W98:AA98),0)</f>
        <v>0</v>
      </c>
      <c r="AC98" s="4">
        <f t="shared" ref="AC98:AC104" ca="1" si="106">AM98</f>
        <v>0</v>
      </c>
      <c r="AD98" s="4">
        <f ca="1">-SUM(W98:AC98)*IFERROR(IF(C98&lt;$F$8,IF($F$23="yes",M41/SUM(M41:$M$48),L41/SUM(L41:$L$48)),IF($F$23="yes",M60/SUM(M60:$M$67),L60/SUM(L60:$L$67))),0)</f>
        <v>-401171.27362352813</v>
      </c>
      <c r="AE98" s="4">
        <f t="shared" ca="1" si="95"/>
        <v>1956560.9538550794</v>
      </c>
      <c r="AF98" s="124"/>
      <c r="AG98" s="63">
        <f t="shared" ca="1" si="96"/>
        <v>0</v>
      </c>
      <c r="AH98" s="4">
        <f t="shared" si="97"/>
        <v>0</v>
      </c>
      <c r="AI98" s="63">
        <f t="shared" ref="AI98:AI104" ca="1" si="107">SUM(AG98:AH98)*((1+IF($C98&lt;=$F$8,$F$17,$G$17))^(1/4)-1)</f>
        <v>0</v>
      </c>
      <c r="AJ98" s="63">
        <f t="shared" ref="AJ98:AJ104" si="108">IF(AND(C98=$F$8,$F$29="yes"),(W60-W41)+Z98,0)</f>
        <v>0</v>
      </c>
      <c r="AK98" s="4">
        <f t="shared" ref="AK98:AK104" ca="1" si="109">K98+S98+AA98</f>
        <v>0</v>
      </c>
      <c r="AL98" s="4">
        <f t="shared" ca="1" si="98"/>
        <v>0</v>
      </c>
      <c r="AM98" s="4">
        <f t="shared" ca="1" si="99"/>
        <v>0</v>
      </c>
      <c r="AN98" s="4">
        <f ca="1">-SUM(AG98:AM98)*IFERROR(IF(C98&lt;$F$8,IF($F$23="yes",M41/SUM(M41:$M$48),L41/SUM(L41:$L$48)),IF($F$23="yes",M60/SUM(M60:$M$67),L60/SUM(L60:$L$67))),0)</f>
        <v>0</v>
      </c>
      <c r="AO98" s="4">
        <f t="shared" ca="1" si="100"/>
        <v>0</v>
      </c>
      <c r="AP98" s="124"/>
      <c r="AQ98" s="70"/>
      <c r="AR98" s="70"/>
      <c r="AS98" s="70"/>
      <c r="AT98" s="22"/>
      <c r="AU98" s="125"/>
      <c r="AV98" s="45"/>
      <c r="AX98" s="126"/>
      <c r="AZ98" s="4"/>
    </row>
    <row r="99" spans="1:52" s="2" customFormat="1" outlineLevel="1" x14ac:dyDescent="0.55000000000000004">
      <c r="A99" s="9"/>
      <c r="B99" s="1" t="s">
        <v>8</v>
      </c>
      <c r="C99" s="3">
        <v>3</v>
      </c>
      <c r="D99" s="13"/>
      <c r="E99" s="63">
        <f t="shared" ca="1" si="78"/>
        <v>-1494902.7782156293</v>
      </c>
      <c r="F99" s="63">
        <f t="shared" si="79"/>
        <v>0</v>
      </c>
      <c r="G99" s="63">
        <f t="shared" si="80"/>
        <v>1006230.5898749053</v>
      </c>
      <c r="H99" s="63">
        <f t="shared" ca="1" si="81"/>
        <v>-2425.2466324627835</v>
      </c>
      <c r="I99" s="63">
        <f t="shared" si="82"/>
        <v>-718002.62567656906</v>
      </c>
      <c r="J99" s="63">
        <f t="shared" ca="1" si="83"/>
        <v>0</v>
      </c>
      <c r="K99" s="63">
        <f t="shared" si="84"/>
        <v>0</v>
      </c>
      <c r="L99" s="63">
        <f t="shared" si="85"/>
        <v>0</v>
      </c>
      <c r="M99" s="63">
        <f t="shared" ca="1" si="86"/>
        <v>-1209100.0606497559</v>
      </c>
      <c r="N99" s="124"/>
      <c r="O99" s="63">
        <f t="shared" si="87"/>
        <v>185995.4376284421</v>
      </c>
      <c r="P99" s="63">
        <f t="shared" si="88"/>
        <v>0</v>
      </c>
      <c r="Q99" s="4">
        <f t="shared" si="89"/>
        <v>923.08262987805745</v>
      </c>
      <c r="R99" s="4">
        <f t="shared" si="101"/>
        <v>-35900.131283828436</v>
      </c>
      <c r="S99" s="4">
        <f t="shared" si="90"/>
        <v>0</v>
      </c>
      <c r="T99" s="63">
        <f t="shared" si="91"/>
        <v>0</v>
      </c>
      <c r="U99" s="4">
        <f t="shared" si="92"/>
        <v>151018.38897449171</v>
      </c>
      <c r="V99" s="124"/>
      <c r="W99" s="63">
        <f t="shared" ca="1" si="93"/>
        <v>1956560.9538550794</v>
      </c>
      <c r="X99" s="4">
        <f t="shared" si="94"/>
        <v>0</v>
      </c>
      <c r="Y99" s="4">
        <f t="shared" ca="1" si="102"/>
        <v>9710.278132785159</v>
      </c>
      <c r="Z99" s="4">
        <f t="shared" ca="1" si="103"/>
        <v>0</v>
      </c>
      <c r="AA99" s="4">
        <f t="shared" ca="1" si="104"/>
        <v>0</v>
      </c>
      <c r="AB99" s="4">
        <f t="shared" ca="1" si="105"/>
        <v>0</v>
      </c>
      <c r="AC99" s="4">
        <f t="shared" ca="1" si="106"/>
        <v>0</v>
      </c>
      <c r="AD99" s="4">
        <f ca="1">-SUM(W99:AC99)*IFERROR(IF(C99&lt;$F$8,IF($F$23="yes",M42/SUM(M42:$M$48),L42/SUM(L42:$L$48)),IF($F$23="yes",M61/SUM(M61:$M$67),L61/SUM(L61:$L$67))),0)</f>
        <v>-379404.36580256891</v>
      </c>
      <c r="AE99" s="4">
        <f t="shared" ca="1" si="95"/>
        <v>1586866.8661852956</v>
      </c>
      <c r="AF99" s="124"/>
      <c r="AG99" s="63">
        <f t="shared" ca="1" si="96"/>
        <v>0</v>
      </c>
      <c r="AH99" s="4">
        <f t="shared" si="97"/>
        <v>0</v>
      </c>
      <c r="AI99" s="63">
        <f t="shared" ca="1" si="107"/>
        <v>0</v>
      </c>
      <c r="AJ99" s="63">
        <f t="shared" si="108"/>
        <v>0</v>
      </c>
      <c r="AK99" s="4">
        <f t="shared" ca="1" si="109"/>
        <v>0</v>
      </c>
      <c r="AL99" s="4">
        <f t="shared" ca="1" si="98"/>
        <v>0</v>
      </c>
      <c r="AM99" s="4">
        <f t="shared" ca="1" si="99"/>
        <v>0</v>
      </c>
      <c r="AN99" s="4">
        <f ca="1">-SUM(AG99:AM99)*IFERROR(IF(C99&lt;$F$8,IF($F$23="yes",M42/SUM(M42:$M$48),L42/SUM(L42:$L$48)),IF($F$23="yes",M61/SUM(M61:$M$67),L61/SUM(L61:$L$67))),0)</f>
        <v>0</v>
      </c>
      <c r="AO99" s="4">
        <f t="shared" ca="1" si="100"/>
        <v>0</v>
      </c>
      <c r="AP99" s="124"/>
      <c r="AQ99" s="70"/>
      <c r="AR99" s="70"/>
      <c r="AS99" s="70"/>
      <c r="AT99" s="22"/>
      <c r="AU99" s="125"/>
      <c r="AX99" s="126"/>
      <c r="AZ99" s="4"/>
    </row>
    <row r="100" spans="1:52" s="2" customFormat="1" outlineLevel="1" x14ac:dyDescent="0.55000000000000004">
      <c r="A100" s="9"/>
      <c r="B100" s="1" t="s">
        <v>9</v>
      </c>
      <c r="C100" s="3">
        <v>4</v>
      </c>
      <c r="D100" s="13"/>
      <c r="E100" s="63">
        <f t="shared" ca="1" si="78"/>
        <v>-1209100.0606497559</v>
      </c>
      <c r="F100" s="63">
        <f t="shared" si="79"/>
        <v>0</v>
      </c>
      <c r="G100" s="63">
        <f t="shared" si="80"/>
        <v>951634.13709650771</v>
      </c>
      <c r="H100" s="63">
        <f t="shared" ca="1" si="81"/>
        <v>-1277.7857610264969</v>
      </c>
      <c r="I100" s="63">
        <f t="shared" si="82"/>
        <v>-680400</v>
      </c>
      <c r="J100" s="63">
        <f t="shared" ca="1" si="83"/>
        <v>0</v>
      </c>
      <c r="K100" s="63">
        <f t="shared" ca="1" si="84"/>
        <v>1997574.804779938</v>
      </c>
      <c r="L100" s="63">
        <f t="shared" ca="1" si="85"/>
        <v>16026.657472162042</v>
      </c>
      <c r="M100" s="63">
        <f t="shared" ca="1" si="86"/>
        <v>1074457.7529378254</v>
      </c>
      <c r="N100" s="124"/>
      <c r="O100" s="63">
        <f t="shared" si="87"/>
        <v>151018.38897449171</v>
      </c>
      <c r="P100" s="63">
        <f t="shared" si="88"/>
        <v>0</v>
      </c>
      <c r="Q100" s="4">
        <f t="shared" si="89"/>
        <v>749.49393077588081</v>
      </c>
      <c r="R100" s="4">
        <f t="shared" si="101"/>
        <v>-34020.000000000058</v>
      </c>
      <c r="S100" s="4">
        <f t="shared" si="90"/>
        <v>30005.021422838749</v>
      </c>
      <c r="T100" s="63">
        <f t="shared" si="91"/>
        <v>899.39519197348272</v>
      </c>
      <c r="U100" s="4">
        <f t="shared" si="92"/>
        <v>148652.29952007977</v>
      </c>
      <c r="V100" s="124"/>
      <c r="W100" s="63">
        <f t="shared" ca="1" si="93"/>
        <v>1586866.8661852956</v>
      </c>
      <c r="X100" s="4">
        <f t="shared" si="94"/>
        <v>0</v>
      </c>
      <c r="Y100" s="4">
        <f t="shared" ca="1" si="102"/>
        <v>7875.5116726620072</v>
      </c>
      <c r="Z100" s="4">
        <f t="shared" ca="1" si="103"/>
        <v>112500</v>
      </c>
      <c r="AA100" s="4">
        <f t="shared" ca="1" si="104"/>
        <v>-2027579.8262027767</v>
      </c>
      <c r="AB100" s="4">
        <f t="shared" ca="1" si="105"/>
        <v>320337.44834481901</v>
      </c>
      <c r="AC100" s="4">
        <f t="shared" ca="1" si="106"/>
        <v>0</v>
      </c>
      <c r="AD100" s="4">
        <f ca="1">-SUM(W100:AC100)*IFERROR(IF(C100&lt;$F$8,IF($F$23="yes",M43/SUM(M43:$M$48),L43/SUM(L43:$L$48)),IF($F$23="yes",M62/SUM(M62:$M$67),L62/SUM(L62:$L$67))),0)</f>
        <v>0</v>
      </c>
      <c r="AE100" s="4">
        <f t="shared" ca="1" si="95"/>
        <v>0</v>
      </c>
      <c r="AF100" s="124"/>
      <c r="AG100" s="63">
        <f t="shared" ca="1" si="96"/>
        <v>0</v>
      </c>
      <c r="AH100" s="4">
        <f t="shared" si="97"/>
        <v>0</v>
      </c>
      <c r="AI100" s="63">
        <f t="shared" ca="1" si="107"/>
        <v>0</v>
      </c>
      <c r="AJ100" s="63">
        <f t="shared" ca="1" si="108"/>
        <v>0</v>
      </c>
      <c r="AK100" s="4">
        <f t="shared" ca="1" si="109"/>
        <v>0</v>
      </c>
      <c r="AL100" s="4">
        <f t="shared" ca="1" si="98"/>
        <v>320337.44834481901</v>
      </c>
      <c r="AM100" s="4">
        <f t="shared" ca="1" si="99"/>
        <v>0</v>
      </c>
      <c r="AN100" s="4">
        <f ca="1">-SUM(AG100:AM100)*IFERROR(IF(C100&lt;$F$8,IF($F$23="yes",M43/SUM(M43:$M$48),L43/SUM(L43:$L$48)),IF($F$23="yes",M62/SUM(M62:$M$67),L62/SUM(L62:$L$67))),0)</f>
        <v>-65819.550749549744</v>
      </c>
      <c r="AO100" s="4">
        <f t="shared" ca="1" si="100"/>
        <v>254517.89759526926</v>
      </c>
      <c r="AP100" s="124"/>
      <c r="AQ100" s="70"/>
      <c r="AR100" s="70"/>
      <c r="AS100" s="70"/>
      <c r="AT100" s="22"/>
      <c r="AU100" s="125"/>
      <c r="AX100" s="126"/>
      <c r="AZ100" s="4"/>
    </row>
    <row r="101" spans="1:52" s="55" customFormat="1" outlineLevel="1" x14ac:dyDescent="0.55000000000000004">
      <c r="A101" s="89"/>
      <c r="B101" s="117" t="s">
        <v>16</v>
      </c>
      <c r="C101" s="118">
        <v>5</v>
      </c>
      <c r="D101" s="119"/>
      <c r="E101" s="63">
        <f t="shared" ca="1" si="78"/>
        <v>1074457.7529378254</v>
      </c>
      <c r="F101" s="63">
        <f t="shared" si="79"/>
        <v>0</v>
      </c>
      <c r="G101" s="63">
        <f t="shared" si="80"/>
        <v>1012500</v>
      </c>
      <c r="H101" s="63">
        <f t="shared" ca="1" si="81"/>
        <v>5197.942505104329</v>
      </c>
      <c r="I101" s="63">
        <f t="shared" si="82"/>
        <v>-1293873.9730236605</v>
      </c>
      <c r="J101" s="63">
        <f t="shared" ca="1" si="83"/>
        <v>0</v>
      </c>
      <c r="K101" s="63">
        <f t="shared" si="84"/>
        <v>0</v>
      </c>
      <c r="L101" s="63">
        <f t="shared" si="85"/>
        <v>0</v>
      </c>
      <c r="M101" s="63">
        <f t="shared" ca="1" si="86"/>
        <v>798281.72241926915</v>
      </c>
      <c r="N101" s="124"/>
      <c r="O101" s="63">
        <f t="shared" si="87"/>
        <v>148652.29952007977</v>
      </c>
      <c r="P101" s="63">
        <f t="shared" si="88"/>
        <v>0</v>
      </c>
      <c r="Q101" s="51">
        <f t="shared" si="89"/>
        <v>370.24520744093007</v>
      </c>
      <c r="R101" s="51">
        <f t="shared" si="101"/>
        <v>-38816.219190709817</v>
      </c>
      <c r="S101" s="51">
        <f t="shared" si="90"/>
        <v>0</v>
      </c>
      <c r="T101" s="63">
        <f t="shared" si="91"/>
        <v>0</v>
      </c>
      <c r="U101" s="51">
        <f t="shared" si="92"/>
        <v>110206.32553681088</v>
      </c>
      <c r="V101" s="124"/>
      <c r="W101" s="63">
        <f t="shared" ca="1" si="93"/>
        <v>0</v>
      </c>
      <c r="X101" s="51">
        <f t="shared" si="94"/>
        <v>0</v>
      </c>
      <c r="Y101" s="51">
        <f t="shared" ca="1" si="102"/>
        <v>0</v>
      </c>
      <c r="Z101" s="4">
        <f t="shared" ca="1" si="103"/>
        <v>0</v>
      </c>
      <c r="AA101" s="4">
        <f t="shared" ca="1" si="104"/>
        <v>0</v>
      </c>
      <c r="AB101" s="4">
        <f t="shared" ca="1" si="105"/>
        <v>0</v>
      </c>
      <c r="AC101" s="4">
        <f t="shared" ca="1" si="106"/>
        <v>0</v>
      </c>
      <c r="AD101" s="4">
        <f ca="1">-SUM(W101:AC101)*IFERROR(IF(C101&lt;$F$8,IF($F$23="yes",M44/SUM(M44:$M$48),L44/SUM(L44:$L$48)),IF($F$23="yes",M63/SUM(M63:$M$67),L63/SUM(L63:$L$67))),0)</f>
        <v>0</v>
      </c>
      <c r="AE101" s="51">
        <f t="shared" ca="1" si="95"/>
        <v>0</v>
      </c>
      <c r="AF101" s="124"/>
      <c r="AG101" s="63">
        <f t="shared" ca="1" si="96"/>
        <v>254517.89759526926</v>
      </c>
      <c r="AH101" s="51">
        <f t="shared" si="97"/>
        <v>0</v>
      </c>
      <c r="AI101" s="63">
        <f t="shared" ca="1" si="107"/>
        <v>633.92246266503832</v>
      </c>
      <c r="AJ101" s="63">
        <f t="shared" si="108"/>
        <v>0</v>
      </c>
      <c r="AK101" s="4">
        <f t="shared" ca="1" si="109"/>
        <v>0</v>
      </c>
      <c r="AL101" s="4">
        <f t="shared" ca="1" si="98"/>
        <v>0</v>
      </c>
      <c r="AM101" s="4">
        <f t="shared" ca="1" si="99"/>
        <v>0</v>
      </c>
      <c r="AN101" s="4">
        <f ca="1">-SUM(AG101:AM101)*IFERROR(IF(C101&lt;$F$8,IF($F$23="yes",M44/SUM(M44:$M$48),L44/SUM(L44:$L$48)),IF($F$23="yes",M63/SUM(M63:$M$67),L63/SUM(L63:$L$67))),0)</f>
        <v>-66812.400351804303</v>
      </c>
      <c r="AO101" s="51">
        <f t="shared" ca="1" si="100"/>
        <v>188339.41970612999</v>
      </c>
      <c r="AP101" s="124"/>
      <c r="AQ101" s="70"/>
      <c r="AR101" s="70"/>
      <c r="AS101" s="70"/>
      <c r="AT101" s="22"/>
      <c r="AU101" s="125"/>
      <c r="AX101" s="126"/>
      <c r="AY101" s="2"/>
      <c r="AZ101" s="4"/>
    </row>
    <row r="102" spans="1:52" s="2" customFormat="1" outlineLevel="1" x14ac:dyDescent="0.55000000000000004">
      <c r="A102" s="9"/>
      <c r="B102" s="1" t="s">
        <v>17</v>
      </c>
      <c r="C102" s="3">
        <v>6</v>
      </c>
      <c r="D102" s="13"/>
      <c r="E102" s="63">
        <f t="shared" ca="1" si="78"/>
        <v>798281.72241926915</v>
      </c>
      <c r="F102" s="63">
        <f t="shared" si="79"/>
        <v>0</v>
      </c>
      <c r="G102" s="63">
        <f t="shared" si="80"/>
        <v>986178.79325561307</v>
      </c>
      <c r="H102" s="63">
        <f t="shared" ca="1" si="81"/>
        <v>4444.5188936142285</v>
      </c>
      <c r="I102" s="63">
        <f t="shared" si="82"/>
        <v>-1261690.6063937156</v>
      </c>
      <c r="J102" s="63">
        <f t="shared" ca="1" si="83"/>
        <v>0</v>
      </c>
      <c r="K102" s="63">
        <f t="shared" si="84"/>
        <v>0</v>
      </c>
      <c r="L102" s="63">
        <f t="shared" si="85"/>
        <v>0</v>
      </c>
      <c r="M102" s="63">
        <f t="shared" ca="1" si="86"/>
        <v>527214.42817478068</v>
      </c>
      <c r="N102" s="124"/>
      <c r="O102" s="63">
        <f t="shared" si="87"/>
        <v>110206.32553681088</v>
      </c>
      <c r="P102" s="63">
        <f t="shared" si="88"/>
        <v>0</v>
      </c>
      <c r="Q102" s="4">
        <f t="shared" si="89"/>
        <v>274.48861532187431</v>
      </c>
      <c r="R102" s="4">
        <f>U102-SUM(S102:T102,O102:Q102)</f>
        <v>-37850.718191811466</v>
      </c>
      <c r="S102" s="4">
        <f t="shared" si="90"/>
        <v>0</v>
      </c>
      <c r="T102" s="63">
        <f t="shared" si="91"/>
        <v>0</v>
      </c>
      <c r="U102" s="4">
        <f t="shared" si="92"/>
        <v>72630.095960321283</v>
      </c>
      <c r="V102" s="124"/>
      <c r="W102" s="63">
        <f t="shared" ca="1" si="93"/>
        <v>0</v>
      </c>
      <c r="X102" s="4">
        <f t="shared" si="94"/>
        <v>0</v>
      </c>
      <c r="Y102" s="4">
        <f t="shared" ca="1" si="102"/>
        <v>0</v>
      </c>
      <c r="Z102" s="4">
        <f t="shared" ca="1" si="103"/>
        <v>0</v>
      </c>
      <c r="AA102" s="4">
        <f t="shared" ca="1" si="104"/>
        <v>0</v>
      </c>
      <c r="AB102" s="4">
        <f t="shared" ca="1" si="105"/>
        <v>0</v>
      </c>
      <c r="AC102" s="4">
        <f t="shared" ca="1" si="106"/>
        <v>0</v>
      </c>
      <c r="AD102" s="4">
        <f ca="1">-SUM(W102:AC102)*IFERROR(IF(C102&lt;$F$8,IF($F$23="yes",M45/SUM(M45:$M$48),L45/SUM(L45:$L$48)),IF($F$23="yes",M64/SUM(M64:$M$67),L64/SUM(L64:$L$67))),0)</f>
        <v>0</v>
      </c>
      <c r="AE102" s="4">
        <f t="shared" ca="1" si="95"/>
        <v>0</v>
      </c>
      <c r="AF102" s="124"/>
      <c r="AG102" s="63">
        <f t="shared" ca="1" si="96"/>
        <v>188339.41970612999</v>
      </c>
      <c r="AH102" s="4">
        <f t="shared" si="97"/>
        <v>0</v>
      </c>
      <c r="AI102" s="63">
        <f t="shared" ca="1" si="107"/>
        <v>469.09309673330154</v>
      </c>
      <c r="AJ102" s="63">
        <f t="shared" si="108"/>
        <v>0</v>
      </c>
      <c r="AK102" s="4">
        <f t="shared" ca="1" si="109"/>
        <v>0</v>
      </c>
      <c r="AL102" s="4">
        <f t="shared" ca="1" si="98"/>
        <v>0</v>
      </c>
      <c r="AM102" s="4">
        <f t="shared" ca="1" si="99"/>
        <v>0</v>
      </c>
      <c r="AN102" s="4">
        <f ca="1">-SUM(AG102:AM102)*IFERROR(IF(C102&lt;$F$8,IF($F$23="yes",M45/SUM(M45:$M$48),L45/SUM(L45:$L$48)),IF($F$23="yes",M64/SUM(M64:$M$67),L64/SUM(L64:$L$67))),0)</f>
        <v>-64915.439637440744</v>
      </c>
      <c r="AO102" s="4">
        <f t="shared" ca="1" si="100"/>
        <v>123893.07316542254</v>
      </c>
      <c r="AP102" s="124"/>
      <c r="AQ102" s="70"/>
      <c r="AR102" s="70"/>
      <c r="AS102" s="70"/>
      <c r="AT102" s="22"/>
      <c r="AU102" s="125"/>
      <c r="AX102" s="126"/>
      <c r="AZ102" s="4"/>
    </row>
    <row r="103" spans="1:52" s="2" customFormat="1" outlineLevel="1" x14ac:dyDescent="0.55000000000000004">
      <c r="A103" s="9"/>
      <c r="B103" s="1" t="s">
        <v>18</v>
      </c>
      <c r="C103" s="3">
        <v>7</v>
      </c>
      <c r="D103" s="13"/>
      <c r="E103" s="63">
        <f t="shared" ca="1" si="78"/>
        <v>527214.42817478068</v>
      </c>
      <c r="F103" s="63">
        <f t="shared" si="79"/>
        <v>0</v>
      </c>
      <c r="G103" s="63">
        <f t="shared" si="80"/>
        <v>960541.83927614521</v>
      </c>
      <c r="H103" s="63">
        <f t="shared" ca="1" si="81"/>
        <v>3705.5237600916216</v>
      </c>
      <c r="I103" s="63">
        <f t="shared" si="82"/>
        <v>-1230307.8920550123</v>
      </c>
      <c r="J103" s="63">
        <f t="shared" ca="1" si="83"/>
        <v>0</v>
      </c>
      <c r="K103" s="63">
        <f t="shared" si="84"/>
        <v>0</v>
      </c>
      <c r="L103" s="63">
        <f t="shared" si="85"/>
        <v>0</v>
      </c>
      <c r="M103" s="63">
        <f t="shared" ca="1" si="86"/>
        <v>261153.89915600512</v>
      </c>
      <c r="N103" s="124"/>
      <c r="O103" s="63">
        <f t="shared" si="87"/>
        <v>72630.095960321283</v>
      </c>
      <c r="P103" s="63">
        <f t="shared" si="88"/>
        <v>0</v>
      </c>
      <c r="Q103" s="4">
        <f t="shared" si="89"/>
        <v>180.89827760553018</v>
      </c>
      <c r="R103" s="4">
        <f t="shared" si="101"/>
        <v>-36909.236761650354</v>
      </c>
      <c r="S103" s="4">
        <f t="shared" si="90"/>
        <v>0</v>
      </c>
      <c r="T103" s="63">
        <f t="shared" si="91"/>
        <v>0</v>
      </c>
      <c r="U103" s="4">
        <f t="shared" si="92"/>
        <v>35901.757476276463</v>
      </c>
      <c r="V103" s="124"/>
      <c r="W103" s="63">
        <f t="shared" ca="1" si="93"/>
        <v>0</v>
      </c>
      <c r="X103" s="4">
        <f t="shared" si="94"/>
        <v>0</v>
      </c>
      <c r="Y103" s="4">
        <f t="shared" ca="1" si="102"/>
        <v>0</v>
      </c>
      <c r="Z103" s="4">
        <f t="shared" ca="1" si="103"/>
        <v>0</v>
      </c>
      <c r="AA103" s="4">
        <f t="shared" ca="1" si="104"/>
        <v>0</v>
      </c>
      <c r="AB103" s="4">
        <f t="shared" ca="1" si="105"/>
        <v>0</v>
      </c>
      <c r="AC103" s="4">
        <f t="shared" ca="1" si="106"/>
        <v>0</v>
      </c>
      <c r="AD103" s="4">
        <f ca="1">-SUM(W103:AC103)*IFERROR(IF(C103&lt;$F$8,IF($F$23="yes",M46/SUM(M46:$M$48),L46/SUM(L46:$L$48)),IF($F$23="yes",M65/SUM(M65:$M$67),L65/SUM(L65:$L$67))),0)</f>
        <v>0</v>
      </c>
      <c r="AE103" s="4">
        <f t="shared" ca="1" si="95"/>
        <v>0</v>
      </c>
      <c r="AF103" s="124"/>
      <c r="AG103" s="63">
        <f t="shared" ca="1" si="96"/>
        <v>123893.07316542254</v>
      </c>
      <c r="AH103" s="4">
        <f t="shared" si="97"/>
        <v>0</v>
      </c>
      <c r="AI103" s="63">
        <f t="shared" ca="1" si="107"/>
        <v>308.57791452079101</v>
      </c>
      <c r="AJ103" s="63">
        <f t="shared" si="108"/>
        <v>0</v>
      </c>
      <c r="AK103" s="4">
        <f t="shared" ca="1" si="109"/>
        <v>0</v>
      </c>
      <c r="AL103" s="4">
        <f t="shared" ca="1" si="98"/>
        <v>0</v>
      </c>
      <c r="AM103" s="4">
        <f t="shared" ca="1" si="99"/>
        <v>0</v>
      </c>
      <c r="AN103" s="4">
        <f ca="1">-SUM(AG103:AM103)*IFERROR(IF(C103&lt;$F$8,IF($F$23="yes",M46/SUM(M46:$M$48),L46/SUM(L46:$L$48)),IF($F$23="yes",M65/SUM(M65:$M$67),L65/SUM(L65:$L$67))),0)</f>
        <v>-63072.338085940515</v>
      </c>
      <c r="AO103" s="4">
        <f t="shared" ca="1" si="100"/>
        <v>61129.312994002816</v>
      </c>
      <c r="AP103" s="124"/>
      <c r="AQ103" s="70"/>
      <c r="AR103" s="70"/>
      <c r="AS103" s="70"/>
      <c r="AT103" s="22"/>
      <c r="AU103" s="125"/>
      <c r="AX103" s="126"/>
      <c r="AZ103" s="4"/>
    </row>
    <row r="104" spans="1:52" s="2" customFormat="1" outlineLevel="1" x14ac:dyDescent="0.55000000000000004">
      <c r="A104" s="9"/>
      <c r="B104" s="1" t="s">
        <v>19</v>
      </c>
      <c r="C104" s="3">
        <v>8</v>
      </c>
      <c r="D104" s="13"/>
      <c r="E104" s="63">
        <f t="shared" ca="1" si="78"/>
        <v>261153.89915600512</v>
      </c>
      <c r="F104" s="63">
        <f t="shared" si="79"/>
        <v>0</v>
      </c>
      <c r="G104" s="63">
        <f t="shared" si="80"/>
        <v>935571.35005321074</v>
      </c>
      <c r="H104" s="63">
        <f t="shared" ca="1" si="81"/>
        <v>2980.6588231311816</v>
      </c>
      <c r="I104" s="63">
        <f t="shared" si="82"/>
        <v>-1199705.9080323465</v>
      </c>
      <c r="J104" s="63">
        <f t="shared" ca="1" si="83"/>
        <v>0</v>
      </c>
      <c r="K104" s="63">
        <f t="shared" si="84"/>
        <v>0</v>
      </c>
      <c r="L104" s="63">
        <f t="shared" si="85"/>
        <v>0</v>
      </c>
      <c r="M104" s="63">
        <f t="shared" ca="1" si="86"/>
        <v>4.6566128730773926E-10</v>
      </c>
      <c r="N104" s="124"/>
      <c r="O104" s="63">
        <f t="shared" si="87"/>
        <v>35901.757476276463</v>
      </c>
      <c r="P104" s="63">
        <f t="shared" si="88"/>
        <v>0</v>
      </c>
      <c r="Q104" s="4">
        <f t="shared" si="89"/>
        <v>89.41976469393542</v>
      </c>
      <c r="R104" s="4">
        <f t="shared" si="101"/>
        <v>-35991.177240970399</v>
      </c>
      <c r="S104" s="4">
        <f t="shared" si="90"/>
        <v>0</v>
      </c>
      <c r="T104" s="63">
        <f t="shared" si="91"/>
        <v>0</v>
      </c>
      <c r="U104" s="4">
        <f t="shared" si="92"/>
        <v>0</v>
      </c>
      <c r="V104" s="124"/>
      <c r="W104" s="63">
        <f t="shared" ca="1" si="93"/>
        <v>0</v>
      </c>
      <c r="X104" s="4">
        <f t="shared" si="94"/>
        <v>0</v>
      </c>
      <c r="Y104" s="4">
        <f t="shared" ca="1" si="102"/>
        <v>0</v>
      </c>
      <c r="Z104" s="4">
        <f t="shared" ca="1" si="103"/>
        <v>0</v>
      </c>
      <c r="AA104" s="4">
        <f t="shared" ca="1" si="104"/>
        <v>0</v>
      </c>
      <c r="AB104" s="4">
        <f t="shared" ca="1" si="105"/>
        <v>0</v>
      </c>
      <c r="AC104" s="4">
        <f t="shared" ca="1" si="106"/>
        <v>0</v>
      </c>
      <c r="AD104" s="4">
        <f ca="1">-SUM(W104:AC104)*IFERROR(IF(C104&lt;$F$8,IF($F$23="yes",M47/SUM(M47:$M$48),L47/SUM(L47:$L$48)),IF($F$23="yes",M66/SUM(M66:$M$67),L66/SUM(L66:$L$67))),0)</f>
        <v>0</v>
      </c>
      <c r="AE104" s="4">
        <f t="shared" ca="1" si="95"/>
        <v>0</v>
      </c>
      <c r="AF104" s="124"/>
      <c r="AG104" s="63">
        <f t="shared" ca="1" si="96"/>
        <v>61129.312994002816</v>
      </c>
      <c r="AH104" s="4">
        <f t="shared" si="97"/>
        <v>0</v>
      </c>
      <c r="AI104" s="63">
        <f t="shared" ca="1" si="107"/>
        <v>152.2535153728241</v>
      </c>
      <c r="AJ104" s="63">
        <f t="shared" si="108"/>
        <v>0</v>
      </c>
      <c r="AK104" s="4">
        <f t="shared" ca="1" si="109"/>
        <v>0</v>
      </c>
      <c r="AL104" s="4">
        <f t="shared" ca="1" si="98"/>
        <v>0</v>
      </c>
      <c r="AM104" s="4">
        <f t="shared" ca="1" si="99"/>
        <v>0</v>
      </c>
      <c r="AN104" s="4">
        <f ca="1">-SUM(AG104:AM104)*IFERROR(IF(C104&lt;$F$8,IF($F$23="yes",M47/SUM(M47:$M$48),L47/SUM(L47:$L$48)),IF($F$23="yes",M66/SUM(M66:$M$67),L66/SUM(L66:$L$67))),0)</f>
        <v>-61281.56650937564</v>
      </c>
      <c r="AO104" s="4">
        <f t="shared" ca="1" si="100"/>
        <v>0</v>
      </c>
      <c r="AP104" s="124"/>
      <c r="AQ104" s="70"/>
      <c r="AR104" s="70"/>
      <c r="AS104" s="70"/>
      <c r="AT104" s="22"/>
      <c r="AU104" s="125"/>
      <c r="AX104" s="126"/>
      <c r="AZ104" s="4"/>
    </row>
    <row r="105" spans="1:52" s="2" customFormat="1" outlineLevel="1" x14ac:dyDescent="0.55000000000000004">
      <c r="A105"/>
      <c r="B105" s="8"/>
      <c r="C105" s="6"/>
      <c r="D105" s="13"/>
      <c r="E105" s="7"/>
      <c r="F105" s="7"/>
      <c r="G105" s="7"/>
      <c r="H105" s="7"/>
      <c r="I105" s="7"/>
      <c r="J105" s="7"/>
      <c r="K105" s="7"/>
      <c r="L105" s="7"/>
      <c r="M105" s="7"/>
      <c r="O105" s="7"/>
      <c r="P105" s="7"/>
      <c r="Q105" s="7"/>
      <c r="R105" s="7"/>
      <c r="S105" s="7"/>
      <c r="T105" s="7"/>
      <c r="U105" s="7"/>
      <c r="W105" s="7"/>
      <c r="X105" s="7"/>
      <c r="Y105" s="7"/>
      <c r="Z105" s="7"/>
      <c r="AA105" s="7"/>
      <c r="AB105" s="7"/>
      <c r="AC105" s="7"/>
      <c r="AD105" s="7"/>
      <c r="AE105" s="7"/>
      <c r="AG105" s="7"/>
      <c r="AH105" s="7"/>
      <c r="AI105" s="7"/>
      <c r="AJ105" s="7"/>
      <c r="AK105" s="7"/>
      <c r="AL105" s="7"/>
      <c r="AM105" s="7"/>
      <c r="AN105" s="7"/>
      <c r="AO105" s="7"/>
      <c r="AQ105" s="70"/>
      <c r="AR105" s="70"/>
      <c r="AS105" s="70"/>
    </row>
    <row r="106" spans="1:52" s="2" customFormat="1" outlineLevel="1" x14ac:dyDescent="0.55000000000000004">
      <c r="A106" s="9"/>
      <c r="B106" s="4"/>
      <c r="C106" s="4"/>
      <c r="D106" s="13"/>
      <c r="AQ106" s="70"/>
      <c r="AR106" s="70"/>
      <c r="AS106" s="70"/>
    </row>
    <row r="107" spans="1:52" s="2" customFormat="1" outlineLevel="1" x14ac:dyDescent="0.55000000000000004">
      <c r="A107" s="9"/>
      <c r="B107" s="24"/>
      <c r="C107" s="24"/>
      <c r="D107" s="13"/>
      <c r="F107" s="52">
        <f t="shared" ref="F107:L107" ca="1" si="110">SUM(F96:F104)</f>
        <v>-3018049.3587192083</v>
      </c>
      <c r="G107" s="52">
        <f t="shared" si="110"/>
        <v>8941616.0196849555</v>
      </c>
      <c r="H107" s="52">
        <f t="shared" ca="1" si="110"/>
        <v>4056.4783727275317</v>
      </c>
      <c r="I107" s="52">
        <f t="shared" si="110"/>
        <v>-7941224.6015905738</v>
      </c>
      <c r="J107" s="52">
        <f t="shared" ca="1" si="110"/>
        <v>0</v>
      </c>
      <c r="K107" s="52">
        <f t="shared" ca="1" si="110"/>
        <v>1997574.804779938</v>
      </c>
      <c r="L107" s="52">
        <f t="shared" ca="1" si="110"/>
        <v>16026.657472162042</v>
      </c>
      <c r="P107" s="52">
        <f>SUM(P96:P104)</f>
        <v>261454.42475421843</v>
      </c>
      <c r="Q107" s="52">
        <f>SUM(Q96:Q104)</f>
        <v>4990.8211204033496</v>
      </c>
      <c r="R107" s="52">
        <f>SUM(R96:R104)</f>
        <v>-297349.66248943401</v>
      </c>
      <c r="S107" s="52">
        <f>SUM(S96:S104)</f>
        <v>30005.021422838749</v>
      </c>
      <c r="T107" s="52">
        <f>SUM(T96:T104)</f>
        <v>899.39519197348272</v>
      </c>
      <c r="X107" s="52">
        <f ca="1">SUM(X96:X104)</f>
        <v>2756594.9339649901</v>
      </c>
      <c r="Y107" s="52">
        <f ca="1">SUM(Y96:Y104)</f>
        <v>42910.059766435326</v>
      </c>
      <c r="Z107" s="52">
        <f ca="1">SUM(Z96:Z104)</f>
        <v>112500</v>
      </c>
      <c r="AA107" s="52">
        <f ca="1">SUM(AA96:AA104)</f>
        <v>-2027579.8262027767</v>
      </c>
      <c r="AB107" s="52">
        <f t="shared" ref="AB107:AC107" ca="1" si="111">SUM(AB96:AB104)</f>
        <v>320337.44834481901</v>
      </c>
      <c r="AC107" s="52">
        <f t="shared" ca="1" si="111"/>
        <v>0</v>
      </c>
      <c r="AD107" s="52">
        <f ca="1">SUM(AD96:AD104)</f>
        <v>-1204762.6158734672</v>
      </c>
      <c r="AH107" s="52">
        <f ca="1">SUM(AH96:AH104)</f>
        <v>0</v>
      </c>
      <c r="AI107" s="52">
        <f ca="1">SUM(AI96:AI104)</f>
        <v>1563.846989291955</v>
      </c>
      <c r="AJ107" s="52">
        <f t="shared" ref="AJ107:AK107" ca="1" si="112">SUM(AJ96:AJ104)</f>
        <v>0</v>
      </c>
      <c r="AK107" s="52">
        <f t="shared" ca="1" si="112"/>
        <v>0</v>
      </c>
      <c r="AL107" s="52">
        <f t="shared" ref="AL107:AM107" ca="1" si="113">SUM(AL96:AL104)</f>
        <v>320337.44834481901</v>
      </c>
      <c r="AM107" s="52">
        <f t="shared" ca="1" si="113"/>
        <v>0</v>
      </c>
      <c r="AN107" s="52">
        <f ca="1">SUM(AN96:AN104)</f>
        <v>-321901.29533411097</v>
      </c>
      <c r="AQ107" s="70"/>
      <c r="AR107" s="70"/>
      <c r="AS107" s="70"/>
    </row>
    <row r="108" spans="1:52" s="2" customFormat="1" x14ac:dyDescent="0.55000000000000004">
      <c r="A108" s="9"/>
      <c r="B108" s="24"/>
      <c r="C108" s="24"/>
      <c r="D108" s="4"/>
      <c r="E108" s="4"/>
      <c r="AL108" s="70"/>
      <c r="AM108" s="70"/>
      <c r="AN108" s="70"/>
    </row>
    <row r="109" spans="1:52" s="2" customFormat="1" x14ac:dyDescent="0.55000000000000004">
      <c r="A109" s="9"/>
      <c r="B109" s="24"/>
      <c r="C109" s="24"/>
      <c r="D109" s="4"/>
      <c r="E109" s="4"/>
      <c r="AL109" s="70"/>
      <c r="AM109" s="70"/>
      <c r="AN109" s="70"/>
    </row>
    <row r="110" spans="1:52" s="70" customFormat="1" ht="18.3" x14ac:dyDescent="0.55000000000000004">
      <c r="B110" s="145" t="s">
        <v>175</v>
      </c>
      <c r="AG110" s="75"/>
      <c r="AK110" s="55"/>
    </row>
    <row r="111" spans="1:52" s="70" customFormat="1" outlineLevel="1" x14ac:dyDescent="0.55000000000000004">
      <c r="B111" s="55"/>
      <c r="C111" s="55"/>
      <c r="D111" s="55"/>
      <c r="E111" s="55"/>
      <c r="F111" s="55"/>
      <c r="G111" s="55"/>
      <c r="H111" s="55"/>
      <c r="I111" s="55"/>
      <c r="J111" s="55"/>
      <c r="K111" s="55"/>
      <c r="L111" s="55"/>
      <c r="M111" s="55"/>
      <c r="N111" s="55"/>
      <c r="O111" s="55"/>
      <c r="P111" s="55"/>
      <c r="Q111" s="55"/>
      <c r="R111" s="55"/>
      <c r="S111" s="55"/>
      <c r="T111" s="55"/>
      <c r="U111" s="55"/>
      <c r="V111" s="55"/>
      <c r="AG111" s="75"/>
    </row>
    <row r="112" spans="1:52" s="70" customFormat="1" outlineLevel="1" x14ac:dyDescent="0.55000000000000004">
      <c r="B112" s="176" t="s">
        <v>10</v>
      </c>
      <c r="C112" s="176"/>
      <c r="E112" s="176" t="s">
        <v>125</v>
      </c>
      <c r="F112" s="176"/>
      <c r="G112" s="176"/>
      <c r="H112" s="176"/>
      <c r="I112" s="176"/>
      <c r="J112" s="176"/>
      <c r="L112" s="176" t="s">
        <v>391</v>
      </c>
      <c r="M112" s="176"/>
      <c r="N112" s="176"/>
      <c r="O112" s="176"/>
      <c r="P112" s="176"/>
      <c r="R112" s="176" t="s">
        <v>67</v>
      </c>
      <c r="S112" s="176"/>
      <c r="T112" s="176"/>
      <c r="U112" s="176"/>
      <c r="V112" s="176"/>
      <c r="W112" s="176"/>
      <c r="X112" s="176"/>
      <c r="Y112" s="176"/>
      <c r="Z112" s="176"/>
      <c r="AB112" s="153" t="s">
        <v>146</v>
      </c>
      <c r="AD112" s="177" t="s">
        <v>5</v>
      </c>
      <c r="AE112" s="177"/>
      <c r="AG112" s="75"/>
    </row>
    <row r="113" spans="2:33" s="70" customFormat="1" ht="25.8" outlineLevel="1" x14ac:dyDescent="0.55000000000000004">
      <c r="B113" s="147" t="s">
        <v>149</v>
      </c>
      <c r="C113" s="147" t="s">
        <v>10</v>
      </c>
      <c r="E113" s="54" t="s">
        <v>11</v>
      </c>
      <c r="F113" s="54" t="s">
        <v>13</v>
      </c>
      <c r="G113" s="54" t="s">
        <v>398</v>
      </c>
      <c r="H113" s="54" t="s">
        <v>352</v>
      </c>
      <c r="I113" s="54" t="s">
        <v>396</v>
      </c>
      <c r="J113" s="54" t="s">
        <v>15</v>
      </c>
      <c r="L113" s="54" t="s">
        <v>11</v>
      </c>
      <c r="M113" s="54" t="s">
        <v>157</v>
      </c>
      <c r="N113" s="54" t="s">
        <v>13</v>
      </c>
      <c r="O113" s="54" t="s">
        <v>136</v>
      </c>
      <c r="P113" s="54" t="s">
        <v>15</v>
      </c>
      <c r="Q113" s="51"/>
      <c r="R113" s="54" t="s">
        <v>11</v>
      </c>
      <c r="S113" s="54" t="s">
        <v>38</v>
      </c>
      <c r="T113" s="54" t="s">
        <v>41</v>
      </c>
      <c r="U113" s="59" t="s">
        <v>13</v>
      </c>
      <c r="V113" s="56" t="s">
        <v>392</v>
      </c>
      <c r="W113" s="59" t="s">
        <v>14</v>
      </c>
      <c r="X113" s="54" t="s">
        <v>121</v>
      </c>
      <c r="Y113" s="54" t="s">
        <v>15</v>
      </c>
      <c r="Z113" s="54" t="s">
        <v>397</v>
      </c>
      <c r="AB113" s="76" t="s">
        <v>15</v>
      </c>
      <c r="AD113" s="161" t="s">
        <v>150</v>
      </c>
      <c r="AE113" s="161" t="s">
        <v>151</v>
      </c>
      <c r="AG113" s="75"/>
    </row>
    <row r="114" spans="2:33" s="70" customFormat="1" outlineLevel="1" x14ac:dyDescent="0.55000000000000004">
      <c r="B114" s="120" t="s">
        <v>312</v>
      </c>
      <c r="C114" s="120" t="s">
        <v>313</v>
      </c>
      <c r="E114" s="148" t="s">
        <v>314</v>
      </c>
      <c r="F114" s="148" t="s">
        <v>315</v>
      </c>
      <c r="G114" s="148" t="s">
        <v>316</v>
      </c>
      <c r="H114" s="148" t="s">
        <v>317</v>
      </c>
      <c r="I114" s="148" t="s">
        <v>318</v>
      </c>
      <c r="J114" s="148" t="s">
        <v>319</v>
      </c>
      <c r="L114" s="60" t="s">
        <v>320</v>
      </c>
      <c r="M114" s="60" t="s">
        <v>321</v>
      </c>
      <c r="N114" s="60" t="s">
        <v>322</v>
      </c>
      <c r="O114" s="60" t="s">
        <v>323</v>
      </c>
      <c r="P114" s="60" t="s">
        <v>324</v>
      </c>
      <c r="Q114" s="61"/>
      <c r="R114" s="60" t="s">
        <v>325</v>
      </c>
      <c r="S114" s="60" t="s">
        <v>326</v>
      </c>
      <c r="T114" s="60" t="s">
        <v>327</v>
      </c>
      <c r="U114" s="60" t="s">
        <v>328</v>
      </c>
      <c r="V114" s="60" t="s">
        <v>329</v>
      </c>
      <c r="W114" s="60" t="s">
        <v>330</v>
      </c>
      <c r="X114" s="60" t="s">
        <v>331</v>
      </c>
      <c r="Y114" s="60" t="s">
        <v>332</v>
      </c>
      <c r="Z114" s="60" t="s">
        <v>333</v>
      </c>
      <c r="AB114" s="60" t="s">
        <v>334</v>
      </c>
      <c r="AD114" s="60" t="s">
        <v>335</v>
      </c>
      <c r="AE114" s="60" t="s">
        <v>336</v>
      </c>
      <c r="AG114" s="75"/>
    </row>
    <row r="115" spans="2:33" s="70" customFormat="1" outlineLevel="1" x14ac:dyDescent="0.55000000000000004">
      <c r="B115" s="117"/>
      <c r="C115" s="118">
        <v>0</v>
      </c>
      <c r="L115" s="55"/>
      <c r="N115" s="55"/>
      <c r="O115" s="55"/>
      <c r="P115" s="55"/>
      <c r="Q115" s="55"/>
      <c r="R115" s="51"/>
      <c r="S115" s="51"/>
      <c r="T115" s="51"/>
      <c r="U115" s="64"/>
      <c r="V115" s="51"/>
      <c r="W115" s="51"/>
      <c r="X115" s="51"/>
      <c r="Y115" s="51"/>
      <c r="Z115" s="51"/>
      <c r="AB115" s="51"/>
      <c r="AD115" s="51"/>
      <c r="AE115" s="65"/>
      <c r="AG115" s="75"/>
    </row>
    <row r="116" spans="2:33" s="70" customFormat="1" outlineLevel="1" x14ac:dyDescent="0.55000000000000004">
      <c r="B116" s="117" t="s">
        <v>6</v>
      </c>
      <c r="C116" s="118">
        <v>1</v>
      </c>
      <c r="E116" s="51">
        <f>IF(C116=1,Z39,J115)*(1-(F26="immediate"))</f>
        <v>-900000</v>
      </c>
      <c r="F116" s="51">
        <f>IF($F$27="yes",E116*((1+$F$17)^(1/4)-1),0)</f>
        <v>-4466.6384158834389</v>
      </c>
      <c r="G116" s="51">
        <f>-(E116+F116)*($F$26="time")*IFERROR(IF($F$27="yes",D40/SUM(D40:$D$47),1/COUNT(D40:$D$47)),0)</f>
        <v>0</v>
      </c>
      <c r="H116" s="51">
        <f>-(E116+F116)*($F$26="policies IF")*IFERROR(IF(C116&lt;$F$8,IF($F$27="yes",H40/SUM(H40:$H$47),F40/SUM(F40:$F$47)),IF($F$27="yes",H59/SUM(H59:$H$66),F59/SUM(F59:$F$66))),0)</f>
        <v>0</v>
      </c>
      <c r="I116" s="51">
        <f>-(E116+F116)*($F$26="risk")*IFERROR(IF(C116&lt;$F$8,IF($F$27="yes",R40/SUM(R40:$R$47),Q40/SUM(Q40:$Q$47)),IF($F$27="yes",R59/SUM(R59:$R$66),Q59/SUM(Q59:$Q$66))),0)</f>
        <v>138492.7013028755</v>
      </c>
      <c r="J116" s="51">
        <f t="shared" ref="J116:J123" si="114">SUM(E116:I116)</f>
        <v>-765973.93711300788</v>
      </c>
      <c r="K116" s="124"/>
      <c r="L116" s="51">
        <f ca="1">IF(C116=1,IF(F27="yes",-AD50-AH50,-W50-AA50),P115)</f>
        <v>7347137.8538035769</v>
      </c>
      <c r="M116" s="51">
        <f>IF(C116=$F$8,AS58,0)</f>
        <v>0</v>
      </c>
      <c r="N116" s="51">
        <f ca="1">IF($F$27="yes",(L116+M116)*((1+$F$17)^(1/4)-1),0)</f>
        <v>36463.342427322736</v>
      </c>
      <c r="O116" s="51">
        <f ca="1">-(L116+M116+N116)*IFERROR(IF(C116&lt;$F$8,IF($F$24="yes",R40/SUM(R40:$R$48),Q40/SUM(Q40:$Q$48)),IF($F$24="yes",R59/SUM(R59:$R$66),Q59/SUM(Q59:$Q$66))),0)</f>
        <v>-1112839.7796380972</v>
      </c>
      <c r="P116" s="51">
        <f t="shared" ref="P116:P123" ca="1" si="115">SUM(L116:O116)</f>
        <v>6270761.4165928029</v>
      </c>
      <c r="Q116" s="124"/>
      <c r="R116" s="51">
        <f t="shared" ref="R116:R123" si="116">IF(C116=1,0,Y115)</f>
        <v>0</v>
      </c>
      <c r="S116" s="51">
        <f t="shared" ref="S116:S123" si="117">IF($C97&lt;=$F$8,-W39,-W77)</f>
        <v>1125000</v>
      </c>
      <c r="T116" s="51">
        <f>E116</f>
        <v>-900000</v>
      </c>
      <c r="U116" s="51">
        <f t="shared" ref="U116:U123" si="118">IF($F$27="yes",(R116+S116+T116)*((1+$F$17)^(1/4)-1),0)</f>
        <v>1116.6596039708597</v>
      </c>
      <c r="V116" s="51">
        <f>-SUM(G116:I116)</f>
        <v>-138492.7013028755</v>
      </c>
      <c r="W116" s="51">
        <f ca="1">O116</f>
        <v>-1112839.7796380972</v>
      </c>
      <c r="X116" s="51">
        <f ca="1">IF($C97&lt;$F$8,-AA40,-AA78)</f>
        <v>0</v>
      </c>
      <c r="Y116" s="51">
        <f t="shared" ref="Y116:Y122" ca="1" si="119">SUM(R116:X116)</f>
        <v>-1025215.8213370019</v>
      </c>
      <c r="Z116" s="51">
        <f t="shared" ref="Z116:Z123" ca="1" si="120">ROUND(MAX(Y116,M97+U97),0)</f>
        <v>-1025216</v>
      </c>
      <c r="AB116" s="51">
        <f t="shared" ref="AB116:AB123" ca="1" si="121">ROUND(M97+U97+AE97,2)</f>
        <v>771325.51</v>
      </c>
      <c r="AD116" s="51">
        <f t="shared" ref="AD116:AD123" ca="1" si="122">ABS(Z116-AB116)</f>
        <v>1796541.51</v>
      </c>
      <c r="AE116" s="93">
        <f t="shared" ref="AE116:AE123" ca="1" si="123">IFERROR(AD116/ABS(AB116),0)</f>
        <v>2.3291612771889265</v>
      </c>
      <c r="AG116" s="75"/>
    </row>
    <row r="117" spans="2:33" s="70" customFormat="1" outlineLevel="1" x14ac:dyDescent="0.55000000000000004">
      <c r="B117" s="117" t="s">
        <v>7</v>
      </c>
      <c r="C117" s="118">
        <v>2</v>
      </c>
      <c r="E117" s="51">
        <f t="shared" ref="E117:E123" si="124">IF(C117=1,Z40,J116)</f>
        <v>-765973.93711300788</v>
      </c>
      <c r="F117" s="51">
        <f t="shared" ref="F117:F123" si="125">IF($F$27="yes",E117*((1+$F$17)^(1/4)-1),0)</f>
        <v>-3801.4762367493854</v>
      </c>
      <c r="G117" s="51">
        <f>-(E117+F117)*($F$26="time")*IFERROR(IF($F$27="yes",D41/SUM(D41:$D$47),1/COUNT(D41:$D$47)),0)</f>
        <v>0</v>
      </c>
      <c r="H117" s="51">
        <f>-(E117+F117)*($F$26="policies IF")*IFERROR(IF(C117&lt;$F$8,IF($F$27="yes",H41/SUM(H41:$H$47),F41/SUM(F41:$F$47)),IF($F$27="yes",H60/SUM(H60:$H$66),F60/SUM(F60:$F$66))),0)</f>
        <v>0</v>
      </c>
      <c r="I117" s="51">
        <f>-(E117+F117)*($F$26="risk")*IFERROR(IF(C117&lt;$F$8,IF($F$27="yes",R41/SUM(R41:$R$47),Q41/SUM(Q41:$Q$47)),IF($F$27="yes",R60/SUM(R60:$R$66),Q60/SUM(Q60:$Q$66))),0)</f>
        <v>130978.31016537773</v>
      </c>
      <c r="J117" s="51">
        <f t="shared" si="114"/>
        <v>-638797.10318437964</v>
      </c>
      <c r="K117" s="124"/>
      <c r="L117" s="51">
        <f ca="1">IF(C117=1,IF(F28="yes",-AD51-AH51,-W51-AA51),P116)</f>
        <v>6270761.4165928029</v>
      </c>
      <c r="M117" s="51">
        <f t="shared" ref="M117:M123" si="126">IF(C117=$F$8,AS59,0)</f>
        <v>0</v>
      </c>
      <c r="N117" s="51">
        <f t="shared" ref="N117:N123" ca="1" si="127">IF($F$27="yes",(L117+M117)*((1+$F$17)^(1/4)-1),0)</f>
        <v>31121.359822436745</v>
      </c>
      <c r="O117" s="51">
        <f ca="1">-(L117+M117+N117)*IFERROR(IF(C117&lt;$F$8,IF($F$24="yes",R41/SUM(R41:$R$48),Q41/SUM(Q41:$Q$48)),IF($F$24="yes",R60/SUM(R60:$R$66),Q60/SUM(Q60:$Q$66))),0)</f>
        <v>-1057682.1651813735</v>
      </c>
      <c r="P117" s="51">
        <f t="shared" ca="1" si="115"/>
        <v>5244200.6112338668</v>
      </c>
      <c r="Q117" s="124"/>
      <c r="R117" s="51">
        <f t="shared" ca="1" si="116"/>
        <v>-1025215.8213370019</v>
      </c>
      <c r="S117" s="51">
        <f t="shared" si="117"/>
        <v>1063959.3101285729</v>
      </c>
      <c r="T117" s="51">
        <f t="shared" ref="T117:T123" si="128">-Z40</f>
        <v>0</v>
      </c>
      <c r="U117" s="51">
        <f t="shared" ca="1" si="118"/>
        <v>192.28128377975608</v>
      </c>
      <c r="V117" s="51">
        <f t="shared" ref="V117:V123" si="129">-SUM(G117:I117)</f>
        <v>-130978.31016537773</v>
      </c>
      <c r="W117" s="51">
        <f t="shared" ref="W117:W123" ca="1" si="130">O117</f>
        <v>-1057682.1651813735</v>
      </c>
      <c r="X117" s="51">
        <f t="shared" ref="X117:X123" ca="1" si="131">IF($C98&lt;$F$8,-AA41,-AA79)</f>
        <v>0</v>
      </c>
      <c r="Y117" s="51">
        <f t="shared" ca="1" si="119"/>
        <v>-1149724.7052714005</v>
      </c>
      <c r="Z117" s="51">
        <f t="shared" ca="1" si="120"/>
        <v>-1149725</v>
      </c>
      <c r="AB117" s="51">
        <f t="shared" ca="1" si="121"/>
        <v>647653.61</v>
      </c>
      <c r="AD117" s="51">
        <f t="shared" ca="1" si="122"/>
        <v>1797378.6099999999</v>
      </c>
      <c r="AE117" s="93">
        <f t="shared" ca="1" si="123"/>
        <v>2.7752159213626553</v>
      </c>
      <c r="AG117" s="75"/>
    </row>
    <row r="118" spans="2:33" s="70" customFormat="1" outlineLevel="1" x14ac:dyDescent="0.55000000000000004">
      <c r="B118" s="117" t="s">
        <v>8</v>
      </c>
      <c r="C118" s="118">
        <v>3</v>
      </c>
      <c r="E118" s="51">
        <f t="shared" si="124"/>
        <v>-638797.10318437964</v>
      </c>
      <c r="F118" s="51">
        <f t="shared" si="125"/>
        <v>-3170.3063122648973</v>
      </c>
      <c r="G118" s="51">
        <f>-(E118+F118)*($F$26="time")*IFERROR(IF($F$27="yes",D42/SUM(D42:$D$47),1/COUNT(D42:$D$47)),0)</f>
        <v>0</v>
      </c>
      <c r="H118" s="51">
        <f>-(E118+F118)*($F$26="policies IF")*IFERROR(IF(C118&lt;$F$8,IF($F$27="yes",H42/SUM(H42:$H$47),F42/SUM(F42:$F$47)),IF($F$27="yes",H61/SUM(H61:$H$66),F61/SUM(F61:$F$66))),0)</f>
        <v>0</v>
      </c>
      <c r="I118" s="51">
        <f>-(E118+F118)*($F$26="risk")*IFERROR(IF(C118&lt;$F$8,IF($F$27="yes",R42/SUM(R42:$R$47),Q42/SUM(Q42:$Q$47)),IF($F$27="yes",R61/SUM(R61:$R$66),Q61/SUM(Q61:$Q$66))),0)</f>
        <v>123871.63780032139</v>
      </c>
      <c r="J118" s="51">
        <f t="shared" si="114"/>
        <v>-518095.77169632312</v>
      </c>
      <c r="K118" s="124"/>
      <c r="L118" s="51">
        <f ca="1">IF(C118=1,IF(F30="yes",-AD53-AH53,-W53-AA53),P117)</f>
        <v>5244200.6112338668</v>
      </c>
      <c r="M118" s="51">
        <f t="shared" si="126"/>
        <v>0</v>
      </c>
      <c r="N118" s="51">
        <f t="shared" ca="1" si="127"/>
        <v>26026.608789707338</v>
      </c>
      <c r="O118" s="51">
        <f ca="1">-(L118+M118+N118)*IFERROR(IF(C118&lt;$F$8,IF($F$24="yes",R42/SUM(R42:$R$48),Q42/SUM(Q42:$Q$48)),IF($F$24="yes",R61/SUM(R61:$R$66),Q61/SUM(Q61:$Q$66))),0)</f>
        <v>-1005258.4235500316</v>
      </c>
      <c r="P118" s="51">
        <f t="shared" ca="1" si="115"/>
        <v>4264968.7964735422</v>
      </c>
      <c r="Q118" s="124"/>
      <c r="R118" s="51">
        <f t="shared" ca="1" si="116"/>
        <v>-1149724.7052714005</v>
      </c>
      <c r="S118" s="51">
        <f t="shared" si="117"/>
        <v>1006230.5898749053</v>
      </c>
      <c r="T118" s="51">
        <f t="shared" si="128"/>
        <v>0</v>
      </c>
      <c r="U118" s="51">
        <f t="shared" ca="1" si="118"/>
        <v>-712.15147587021863</v>
      </c>
      <c r="V118" s="51">
        <f t="shared" si="129"/>
        <v>-123871.63780032139</v>
      </c>
      <c r="W118" s="51">
        <f t="shared" ca="1" si="130"/>
        <v>-1005258.4235500316</v>
      </c>
      <c r="X118" s="51">
        <f t="shared" ca="1" si="131"/>
        <v>0</v>
      </c>
      <c r="Y118" s="51">
        <f t="shared" ca="1" si="119"/>
        <v>-1273336.3282227186</v>
      </c>
      <c r="Z118" s="51">
        <f t="shared" ca="1" si="120"/>
        <v>-1058082</v>
      </c>
      <c r="AB118" s="51">
        <f t="shared" ca="1" si="121"/>
        <v>528785.18999999994</v>
      </c>
      <c r="AD118" s="51">
        <f t="shared" ca="1" si="122"/>
        <v>1586867.19</v>
      </c>
      <c r="AE118" s="93">
        <f t="shared" ca="1" si="123"/>
        <v>3.0009675384441081</v>
      </c>
      <c r="AG118" s="75"/>
    </row>
    <row r="119" spans="2:33" s="70" customFormat="1" outlineLevel="1" x14ac:dyDescent="0.55000000000000004">
      <c r="B119" s="117" t="s">
        <v>9</v>
      </c>
      <c r="C119" s="118">
        <v>4</v>
      </c>
      <c r="E119" s="51">
        <f t="shared" si="124"/>
        <v>-518095.77169632312</v>
      </c>
      <c r="F119" s="51">
        <f t="shared" si="125"/>
        <v>-2571.2738632950809</v>
      </c>
      <c r="G119" s="51">
        <f>-(E119+F119)*($F$26="time")*IFERROR(IF($F$27="yes",D43/SUM(D43:$D$47),1/COUNT(D43:$D$47)),0)</f>
        <v>0</v>
      </c>
      <c r="H119" s="51">
        <f>-(E119+F119)*($F$26="policies IF")*IFERROR(IF(C119&lt;$F$8,IF($F$27="yes",H43/SUM(H43:$H$47),F43/SUM(F43:$F$47)),IF($F$27="yes",H62/SUM(H62:$H$66),F62/SUM(F62:$F$66))),0)</f>
        <v>0</v>
      </c>
      <c r="I119" s="51">
        <f>-(E119+F119)*($F$26="risk")*IFERROR(IF(C119&lt;$F$8,IF($F$27="yes",R43/SUM(R43:$R$47),Q43/SUM(Q43:$Q$47)),IF($F$27="yes",R62/SUM(R62:$R$66),Q62/SUM(Q62:$Q$66))),0)</f>
        <v>106981.1575446536</v>
      </c>
      <c r="J119" s="51">
        <f t="shared" si="114"/>
        <v>-413685.88801496464</v>
      </c>
      <c r="K119" s="124"/>
      <c r="L119" s="51">
        <f ca="1">IF(C119=1,IF(F31="yes",-AD54-AH54,-W54-AA54),P118)</f>
        <v>4264968.7964735422</v>
      </c>
      <c r="M119" s="51">
        <f t="shared" ca="1" si="126"/>
        <v>569736.78338092938</v>
      </c>
      <c r="N119" s="51">
        <f t="shared" ca="1" si="127"/>
        <v>23994.312969404447</v>
      </c>
      <c r="O119" s="51">
        <f ca="1">-(L119+M119+N119)*IFERROR(IF(C119&lt;$F$8,IF($F$24="yes",R43/SUM(R43:$R$48),Q43/SUM(Q43:$Q$48)),IF($F$24="yes",R62/SUM(R62:$R$66),Q62/SUM(Q62:$Q$66))),0)</f>
        <v>-988673.3859458951</v>
      </c>
      <c r="P119" s="51">
        <f t="shared" ca="1" si="115"/>
        <v>3870026.5068779807</v>
      </c>
      <c r="Q119" s="124"/>
      <c r="R119" s="51">
        <f t="shared" ca="1" si="116"/>
        <v>-1273336.3282227186</v>
      </c>
      <c r="S119" s="51">
        <f t="shared" si="117"/>
        <v>951634.13709650771</v>
      </c>
      <c r="T119" s="51">
        <f t="shared" si="128"/>
        <v>0</v>
      </c>
      <c r="U119" s="51">
        <f t="shared" ca="1" si="118"/>
        <v>-1596.5859615091222</v>
      </c>
      <c r="V119" s="51">
        <f t="shared" si="129"/>
        <v>-106981.1575446536</v>
      </c>
      <c r="W119" s="51">
        <f t="shared" ca="1" si="130"/>
        <v>-988673.3859458951</v>
      </c>
      <c r="X119" s="51">
        <f t="shared" ca="1" si="131"/>
        <v>0</v>
      </c>
      <c r="Y119" s="51">
        <f t="shared" ca="1" si="119"/>
        <v>-1418953.3205782687</v>
      </c>
      <c r="Z119" s="51">
        <f t="shared" ca="1" si="120"/>
        <v>1223110</v>
      </c>
      <c r="AB119" s="51">
        <f t="shared" ca="1" si="121"/>
        <v>1223110.05</v>
      </c>
      <c r="AD119" s="51">
        <f t="shared" ca="1" si="122"/>
        <v>5.0000000046566129E-2</v>
      </c>
      <c r="AE119" s="93">
        <f t="shared" ca="1" si="123"/>
        <v>4.0879395968143771E-8</v>
      </c>
      <c r="AG119" s="75"/>
    </row>
    <row r="120" spans="2:33" s="70" customFormat="1" outlineLevel="1" x14ac:dyDescent="0.55000000000000004">
      <c r="B120" s="117" t="s">
        <v>16</v>
      </c>
      <c r="C120" s="118">
        <v>5</v>
      </c>
      <c r="E120" s="51">
        <f t="shared" si="124"/>
        <v>-413685.88801496464</v>
      </c>
      <c r="F120" s="51">
        <f t="shared" si="125"/>
        <v>-2053.0947550183282</v>
      </c>
      <c r="G120" s="51">
        <f>-(E120+F120)*($F$26="time")*IFERROR(IF($F$27="yes",D44/SUM(D44:$D$47),1/COUNT(D44:$D$47)),0)</f>
        <v>0</v>
      </c>
      <c r="H120" s="51">
        <f>-(E120+F120)*($F$26="policies IF")*IFERROR(IF(C120&lt;$F$8,IF($F$27="yes",H44/SUM(H44:$H$47),F44/SUM(F44:$F$47)),IF($F$27="yes",H63/SUM(H63:$H$66),F63/SUM(F63:$F$66))),0)</f>
        <v>0</v>
      </c>
      <c r="I120" s="51">
        <f>-(E120+F120)*($F$26="risk")*IFERROR(IF(C120&lt;$F$8,IF($F$27="yes",R44/SUM(R44:$R$47),Q44/SUM(Q44:$Q$47)),IF($F$27="yes",R63/SUM(R63:$R$66),Q63/SUM(Q63:$Q$66))),0)</f>
        <v>108862.71300111865</v>
      </c>
      <c r="J120" s="51">
        <f t="shared" si="114"/>
        <v>-306876.26976886427</v>
      </c>
      <c r="K120" s="124"/>
      <c r="L120" s="51">
        <f ca="1">IF(C120=1,IF(F34="yes",-AD55-AH55,-W55-AA55),P119)</f>
        <v>3870026.5068779807</v>
      </c>
      <c r="M120" s="51">
        <f t="shared" si="126"/>
        <v>0</v>
      </c>
      <c r="N120" s="51">
        <f t="shared" ca="1" si="127"/>
        <v>19206.676740120427</v>
      </c>
      <c r="O120" s="51">
        <f ca="1">-(L120+M120+N120)*IFERROR(IF(C120&lt;$F$8,IF($F$24="yes",R44/SUM(R44:$R$48),Q44/SUM(Q44:$Q$48)),IF($F$24="yes",R63/SUM(R63:$R$66),Q63/SUM(Q63:$Q$66))),0)</f>
        <v>-1011054.9205248652</v>
      </c>
      <c r="P120" s="51">
        <f t="shared" ca="1" si="115"/>
        <v>2878178.2630932359</v>
      </c>
      <c r="Q120" s="124"/>
      <c r="R120" s="51">
        <f t="shared" ca="1" si="116"/>
        <v>-1418953.3205782687</v>
      </c>
      <c r="S120" s="51">
        <f t="shared" si="117"/>
        <v>1012500</v>
      </c>
      <c r="T120" s="51">
        <f t="shared" si="128"/>
        <v>0</v>
      </c>
      <c r="U120" s="51">
        <f t="shared" ca="1" si="118"/>
        <v>-2017.2000177314244</v>
      </c>
      <c r="V120" s="51">
        <f t="shared" si="129"/>
        <v>-108862.71300111865</v>
      </c>
      <c r="W120" s="51">
        <f t="shared" ca="1" si="130"/>
        <v>-1011054.9205248652</v>
      </c>
      <c r="X120" s="51">
        <f t="shared" ca="1" si="131"/>
        <v>0</v>
      </c>
      <c r="Y120" s="51">
        <f t="shared" ca="1" si="119"/>
        <v>-1528388.1541219838</v>
      </c>
      <c r="Z120" s="51">
        <f t="shared" ca="1" si="120"/>
        <v>908488</v>
      </c>
      <c r="AB120" s="51">
        <f t="shared" ca="1" si="121"/>
        <v>908488.05</v>
      </c>
      <c r="AD120" s="51">
        <f t="shared" ca="1" si="122"/>
        <v>5.0000000046566129E-2</v>
      </c>
      <c r="AE120" s="93">
        <f t="shared" ca="1" si="123"/>
        <v>5.5036497229177781E-8</v>
      </c>
      <c r="AG120" s="75"/>
    </row>
    <row r="121" spans="2:33" s="70" customFormat="1" outlineLevel="1" x14ac:dyDescent="0.55000000000000004">
      <c r="B121" s="117" t="s">
        <v>17</v>
      </c>
      <c r="C121" s="118">
        <v>6</v>
      </c>
      <c r="E121" s="51">
        <f t="shared" si="124"/>
        <v>-306876.26976886427</v>
      </c>
      <c r="F121" s="51">
        <f t="shared" si="125"/>
        <v>-1523.0059283029098</v>
      </c>
      <c r="G121" s="51">
        <f>-(E121+F121)*($F$26="time")*IFERROR(IF($F$27="yes",D45/SUM(D45:$D$47),1/COUNT(D45:$D$47)),0)</f>
        <v>0</v>
      </c>
      <c r="H121" s="51">
        <f>-(E121+F121)*($F$26="policies IF")*IFERROR(IF(C121&lt;$F$8,IF($F$27="yes",H45/SUM(H45:$H$47),F45/SUM(F45:$F$47)),IF($F$27="yes",H64/SUM(H64:$H$66),F64/SUM(F64:$F$66))),0)</f>
        <v>0</v>
      </c>
      <c r="I121" s="51">
        <f>-(E121+F121)*($F$26="risk")*IFERROR(IF(C121&lt;$F$8,IF($F$27="yes",R45/SUM(R45:$R$47),Q45/SUM(Q45:$Q$47)),IF($F$27="yes",R64/SUM(R64:$R$66),Q64/SUM(Q64:$Q$66))),0)</f>
        <v>106032.69030911141</v>
      </c>
      <c r="J121" s="51">
        <f t="shared" si="114"/>
        <v>-202366.58538805574</v>
      </c>
      <c r="K121" s="124"/>
      <c r="L121" s="51">
        <f ca="1">IF(C121=1,IF(F35="yes",-AD56-AH56,-W56-AA56),P120)</f>
        <v>2878178.2630932359</v>
      </c>
      <c r="M121" s="51">
        <f t="shared" si="126"/>
        <v>0</v>
      </c>
      <c r="N121" s="51">
        <f t="shared" ca="1" si="127"/>
        <v>14284.201775214357</v>
      </c>
      <c r="O121" s="51">
        <f ca="1">-(L121+M121+N121)*IFERROR(IF(C121&lt;$F$8,IF($F$24="yes",R45/SUM(R45:$R$48),Q45/SUM(Q45:$Q$48)),IF($F$24="yes",R64/SUM(R64:$R$66),Q64/SUM(Q64:$Q$66))),0)</f>
        <v>-989658.63291299425</v>
      </c>
      <c r="P121" s="51">
        <f t="shared" ca="1" si="115"/>
        <v>1902803.8319554557</v>
      </c>
      <c r="Q121" s="124"/>
      <c r="R121" s="51">
        <f t="shared" ca="1" si="116"/>
        <v>-1528388.1541219838</v>
      </c>
      <c r="S121" s="51">
        <f t="shared" si="117"/>
        <v>986178.79325561307</v>
      </c>
      <c r="T121" s="51">
        <f t="shared" si="128"/>
        <v>0</v>
      </c>
      <c r="U121" s="51">
        <f t="shared" ca="1" si="118"/>
        <v>-2690.9479563303757</v>
      </c>
      <c r="V121" s="51">
        <f t="shared" si="129"/>
        <v>-106032.69030911141</v>
      </c>
      <c r="W121" s="51">
        <f t="shared" ca="1" si="130"/>
        <v>-989658.63291299425</v>
      </c>
      <c r="X121" s="51">
        <f t="shared" ca="1" si="131"/>
        <v>0</v>
      </c>
      <c r="Y121" s="51">
        <f t="shared" ca="1" si="119"/>
        <v>-1640591.6320448066</v>
      </c>
      <c r="Z121" s="51">
        <f t="shared" ca="1" si="120"/>
        <v>599845</v>
      </c>
      <c r="AB121" s="51">
        <f t="shared" ca="1" si="121"/>
        <v>599844.52</v>
      </c>
      <c r="AD121" s="51">
        <f t="shared" ca="1" si="122"/>
        <v>0.47999999998137355</v>
      </c>
      <c r="AE121" s="93">
        <f t="shared" ca="1" si="123"/>
        <v>8.0020736036960632E-7</v>
      </c>
      <c r="AG121" s="75"/>
    </row>
    <row r="122" spans="2:33" s="70" customFormat="1" outlineLevel="1" x14ac:dyDescent="0.55000000000000004">
      <c r="B122" s="117" t="s">
        <v>18</v>
      </c>
      <c r="C122" s="118">
        <v>7</v>
      </c>
      <c r="E122" s="51">
        <f t="shared" si="124"/>
        <v>-202366.58538805574</v>
      </c>
      <c r="F122" s="51">
        <f t="shared" si="125"/>
        <v>-1004.3315159838289</v>
      </c>
      <c r="G122" s="51">
        <f>-(E122+F122)*($F$26="time")*IFERROR(IF($F$27="yes",D46/SUM(D46:$D$47),1/COUNT(D46:$D$47)),0)</f>
        <v>0</v>
      </c>
      <c r="H122" s="51">
        <f>-(E122+F122)*($F$26="policies IF")*IFERROR(IF(C122&lt;$F$8,IF($F$27="yes",H46/SUM(H46:$H$47),F46/SUM(F46:$F$47)),IF($F$27="yes",H65/SUM(H65:$H$66),F65/SUM(F65:$F$66))),0)</f>
        <v>0</v>
      </c>
      <c r="I122" s="51">
        <f>-(E122+F122)*($F$26="risk")*IFERROR(IF(C122&lt;$F$8,IF($F$27="yes",R46/SUM(R46:$R$47),Q46/SUM(Q46:$Q$47)),IF($F$27="yes",R65/SUM(R65:$R$66),Q65/SUM(Q65:$Q$66))),0)</f>
        <v>103276.23760462775</v>
      </c>
      <c r="J122" s="51">
        <f t="shared" si="114"/>
        <v>-100094.67929941182</v>
      </c>
      <c r="K122" s="124"/>
      <c r="L122" s="51">
        <f ca="1">IF(C122=1,IF(F36="yes",-AD57-AH57,-W57-AA57),P121)</f>
        <v>1902803.8319554557</v>
      </c>
      <c r="M122" s="51">
        <f t="shared" si="126"/>
        <v>0</v>
      </c>
      <c r="N122" s="51">
        <f t="shared" ca="1" si="127"/>
        <v>9443.4852152249496</v>
      </c>
      <c r="O122" s="51">
        <f ca="1">-(L122+M122+N122)*IFERROR(IF(C122&lt;$F$8,IF($F$24="yes",R46/SUM(R46:$R$48),Q46/SUM(Q46:$Q$48)),IF($F$24="yes",R65/SUM(R65:$R$66),Q65/SUM(Q65:$Q$66))),0)</f>
        <v>-968715.14080636867</v>
      </c>
      <c r="P122" s="51">
        <f t="shared" ca="1" si="115"/>
        <v>943532.17636431206</v>
      </c>
      <c r="Q122" s="124"/>
      <c r="R122" s="51">
        <f t="shared" ca="1" si="116"/>
        <v>-1640591.6320448066</v>
      </c>
      <c r="S122" s="51">
        <f t="shared" si="117"/>
        <v>960541.83927614521</v>
      </c>
      <c r="T122" s="51">
        <f t="shared" si="128"/>
        <v>0</v>
      </c>
      <c r="U122" s="51">
        <f t="shared" ca="1" si="118"/>
        <v>-3375.0405878823053</v>
      </c>
      <c r="V122" s="51">
        <f t="shared" si="129"/>
        <v>-103276.23760462775</v>
      </c>
      <c r="W122" s="51">
        <f t="shared" ca="1" si="130"/>
        <v>-968715.14080636867</v>
      </c>
      <c r="X122" s="51">
        <f t="shared" ca="1" si="131"/>
        <v>0</v>
      </c>
      <c r="Y122" s="51">
        <f t="shared" ca="1" si="119"/>
        <v>-1755416.2117675401</v>
      </c>
      <c r="Z122" s="51">
        <f t="shared" ca="1" si="120"/>
        <v>297056</v>
      </c>
      <c r="AB122" s="51">
        <f t="shared" ca="1" si="121"/>
        <v>297055.65999999997</v>
      </c>
      <c r="AD122" s="51">
        <f t="shared" ca="1" si="122"/>
        <v>0.34000000002561137</v>
      </c>
      <c r="AE122" s="93">
        <f t="shared" ca="1" si="123"/>
        <v>1.1445666445999089E-6</v>
      </c>
      <c r="AG122" s="75"/>
    </row>
    <row r="123" spans="2:33" s="70" customFormat="1" outlineLevel="1" x14ac:dyDescent="0.55000000000000004">
      <c r="B123" s="117" t="s">
        <v>19</v>
      </c>
      <c r="C123" s="118">
        <v>8</v>
      </c>
      <c r="E123" s="51">
        <f t="shared" si="124"/>
        <v>-100094.67929941182</v>
      </c>
      <c r="F123" s="51">
        <f t="shared" si="125"/>
        <v>-496.76304420476185</v>
      </c>
      <c r="G123" s="51">
        <f>-(E123+F123)*($F$26="time")*IFERROR(IF($F$27="yes",D47/SUM(D47:$D$47),1/COUNT(D47:$D$47)),0)</f>
        <v>0</v>
      </c>
      <c r="H123" s="51">
        <f>-(E123+F123)*($F$26="policies IF")*IFERROR(IF(C123&lt;$F$8,IF($F$27="yes",H47/SUM(H47:$H$47),F47/SUM(F47:$F$47)),IF($F$27="yes",H66/SUM(H66:$H$66),F66/SUM(F66:$F$66))),0)</f>
        <v>0</v>
      </c>
      <c r="I123" s="51">
        <f>-(E123+F123)*($F$26="risk")*IFERROR(IF(C123&lt;$F$8,IF($F$27="yes",R47/SUM(R47:$R$47),Q47/SUM(Q47:$Q$47)),IF($F$27="yes",R66/SUM(R66:$R$66),Q66/SUM(Q66:$Q$66))),0)</f>
        <v>100591.44234361658</v>
      </c>
      <c r="J123" s="51">
        <f t="shared" si="114"/>
        <v>0</v>
      </c>
      <c r="K123" s="124"/>
      <c r="L123" s="51">
        <f ca="1">IF(C123=1,IF(F37="yes",-AD58-AH58,-W58-AA58),P122)</f>
        <v>943532.17636431206</v>
      </c>
      <c r="M123" s="51">
        <f t="shared" si="126"/>
        <v>0</v>
      </c>
      <c r="N123" s="51">
        <f t="shared" ca="1" si="127"/>
        <v>4682.6856284121604</v>
      </c>
      <c r="O123" s="51">
        <f ca="1">-(L123+M123+N123)*IFERROR(IF(C123&lt;$F$8,IF($F$24="yes",R47/SUM(R47:$R$48),Q47/SUM(Q47:$Q$48)),IF($F$24="yes",R66/SUM(R66:$R$66),Q66/SUM(Q66:$Q$66))),0)</f>
        <v>-948214.86199272424</v>
      </c>
      <c r="P123" s="51">
        <f t="shared" ca="1" si="115"/>
        <v>0</v>
      </c>
      <c r="Q123" s="124"/>
      <c r="R123" s="51">
        <f t="shared" ca="1" si="116"/>
        <v>-1755416.2117675401</v>
      </c>
      <c r="S123" s="51">
        <f t="shared" si="117"/>
        <v>935571.35005321074</v>
      </c>
      <c r="T123" s="51">
        <f t="shared" si="128"/>
        <v>0</v>
      </c>
      <c r="U123" s="51">
        <f t="shared" ca="1" si="118"/>
        <v>-4068.8339493309659</v>
      </c>
      <c r="V123" s="51">
        <f t="shared" si="129"/>
        <v>-100591.44234361658</v>
      </c>
      <c r="W123" s="51">
        <f t="shared" ca="1" si="130"/>
        <v>-948214.86199272424</v>
      </c>
      <c r="X123" s="51">
        <f t="shared" ca="1" si="131"/>
        <v>0</v>
      </c>
      <c r="Y123" s="51">
        <f ca="1">SUM(R123:X123)</f>
        <v>-1872720.0000000012</v>
      </c>
      <c r="Z123" s="51">
        <f t="shared" ca="1" si="120"/>
        <v>0</v>
      </c>
      <c r="AB123" s="51">
        <f t="shared" ca="1" si="121"/>
        <v>0</v>
      </c>
      <c r="AD123" s="51">
        <f t="shared" ca="1" si="122"/>
        <v>0</v>
      </c>
      <c r="AE123" s="93">
        <f t="shared" ca="1" si="123"/>
        <v>0</v>
      </c>
      <c r="AG123" s="75"/>
    </row>
    <row r="124" spans="2:33" s="70" customFormat="1" outlineLevel="1" x14ac:dyDescent="0.55000000000000004">
      <c r="B124" s="121"/>
      <c r="C124" s="71"/>
      <c r="E124" s="71"/>
      <c r="F124" s="71"/>
      <c r="G124" s="71"/>
      <c r="H124" s="71"/>
      <c r="I124" s="71"/>
      <c r="J124" s="71"/>
      <c r="L124" s="77"/>
      <c r="M124" s="77"/>
      <c r="N124" s="77"/>
      <c r="O124" s="77"/>
      <c r="P124" s="77"/>
      <c r="Q124" s="55"/>
      <c r="R124" s="67"/>
      <c r="S124" s="67"/>
      <c r="T124" s="67"/>
      <c r="U124" s="67"/>
      <c r="V124" s="67"/>
      <c r="W124" s="67"/>
      <c r="X124" s="67"/>
      <c r="Y124" s="67"/>
      <c r="Z124" s="67"/>
      <c r="AB124" s="122"/>
      <c r="AD124" s="67"/>
      <c r="AE124" s="69"/>
      <c r="AG124" s="75"/>
    </row>
    <row r="125" spans="2:33" s="70" customFormat="1" outlineLevel="1" x14ac:dyDescent="0.55000000000000004">
      <c r="B125" s="51"/>
      <c r="C125" s="51"/>
      <c r="I125" s="51"/>
      <c r="L125" s="51"/>
      <c r="M125" s="51"/>
      <c r="N125" s="51"/>
      <c r="O125" s="51"/>
      <c r="Q125" s="51"/>
      <c r="R125" s="51"/>
      <c r="S125" s="51"/>
      <c r="T125" s="51"/>
      <c r="U125" s="51"/>
      <c r="V125" s="51"/>
      <c r="W125" s="51"/>
      <c r="X125" s="51"/>
      <c r="Y125" s="51"/>
      <c r="Z125" s="51"/>
      <c r="AB125" s="55"/>
      <c r="AD125" s="51"/>
      <c r="AE125" s="55"/>
      <c r="AG125" s="75"/>
    </row>
    <row r="126" spans="2:33" s="70" customFormat="1" outlineLevel="1" x14ac:dyDescent="0.55000000000000004">
      <c r="B126" s="52"/>
      <c r="C126" s="52"/>
      <c r="F126" s="52">
        <f t="shared" ref="F126:N126" si="132">SUM(F116:F123)</f>
        <v>-19086.890071702634</v>
      </c>
      <c r="G126" s="52">
        <f t="shared" si="132"/>
        <v>0</v>
      </c>
      <c r="H126" s="52">
        <f t="shared" si="132"/>
        <v>0</v>
      </c>
      <c r="I126" s="52">
        <f t="shared" si="132"/>
        <v>919086.89007170254</v>
      </c>
      <c r="J126" s="52"/>
      <c r="K126" s="52"/>
      <c r="L126" s="52"/>
      <c r="M126" s="52">
        <f t="shared" ca="1" si="132"/>
        <v>569736.78338092938</v>
      </c>
      <c r="N126" s="52">
        <f t="shared" ca="1" si="132"/>
        <v>165222.67336784315</v>
      </c>
      <c r="O126" s="52">
        <f t="shared" ref="O126" ca="1" si="133">SUM(O116:O123)</f>
        <v>-8082097.3105523502</v>
      </c>
      <c r="Q126" s="51"/>
      <c r="R126" s="52"/>
      <c r="S126" s="52">
        <f t="shared" ref="S126:X126" si="134">SUM(S116:S123)</f>
        <v>8041616.0196849545</v>
      </c>
      <c r="T126" s="52">
        <f t="shared" si="134"/>
        <v>-900000</v>
      </c>
      <c r="U126" s="52">
        <f t="shared" ca="1" si="134"/>
        <v>-13151.819060903796</v>
      </c>
      <c r="V126" s="52">
        <f t="shared" si="134"/>
        <v>-919086.89007170254</v>
      </c>
      <c r="W126" s="52">
        <f t="shared" ca="1" si="134"/>
        <v>-8082097.3105523502</v>
      </c>
      <c r="X126" s="52">
        <f t="shared" ca="1" si="134"/>
        <v>0</v>
      </c>
      <c r="Y126" s="52"/>
      <c r="Z126" s="52"/>
      <c r="AC126" s="123" t="s">
        <v>152</v>
      </c>
      <c r="AD126" s="52">
        <f ca="1">AVERAGE(AD116:AD123)</f>
        <v>647598.52875000006</v>
      </c>
      <c r="AE126" s="74">
        <f ca="1">AVERAGE(AE116:AE123)</f>
        <v>1.0131683472106985</v>
      </c>
      <c r="AG126" s="75"/>
    </row>
    <row r="127" spans="2:33" s="70" customFormat="1" x14ac:dyDescent="0.55000000000000004">
      <c r="B127" s="51"/>
      <c r="C127" s="51"/>
      <c r="D127" s="51"/>
      <c r="E127" s="51"/>
      <c r="F127" s="51"/>
      <c r="G127" s="51"/>
      <c r="H127" s="51"/>
      <c r="I127" s="51"/>
      <c r="J127" s="51"/>
      <c r="K127" s="51"/>
      <c r="L127" s="51"/>
      <c r="M127" s="52"/>
      <c r="N127" s="52"/>
      <c r="O127" s="52"/>
      <c r="P127" s="52"/>
      <c r="Q127" s="52"/>
      <c r="R127" s="52"/>
      <c r="S127" s="52"/>
      <c r="T127" s="52"/>
      <c r="U127" s="52"/>
      <c r="V127" s="51"/>
      <c r="AG127" s="75"/>
    </row>
    <row r="128" spans="2:33" s="70" customFormat="1" x14ac:dyDescent="0.55000000000000004">
      <c r="B128" s="51"/>
      <c r="C128" s="51"/>
      <c r="D128" s="51"/>
      <c r="E128" s="51"/>
      <c r="F128" s="51"/>
      <c r="G128" s="51"/>
      <c r="H128" s="51"/>
      <c r="I128" s="51"/>
      <c r="J128" s="51"/>
      <c r="K128" s="51"/>
      <c r="L128" s="51"/>
      <c r="M128" s="52"/>
      <c r="N128" s="52"/>
      <c r="O128" s="52"/>
      <c r="P128" s="52"/>
      <c r="Q128" s="52"/>
      <c r="R128" s="52"/>
      <c r="S128" s="52"/>
      <c r="T128" s="52"/>
      <c r="U128" s="52"/>
      <c r="V128" s="51"/>
      <c r="AG128" s="75"/>
    </row>
    <row r="129" spans="4:11" x14ac:dyDescent="0.55000000000000004">
      <c r="D129" s="55"/>
    </row>
    <row r="130" spans="4:11" x14ac:dyDescent="0.55000000000000004">
      <c r="D130" s="51"/>
    </row>
    <row r="131" spans="4:11" x14ac:dyDescent="0.55000000000000004">
      <c r="D131" s="51"/>
    </row>
    <row r="132" spans="4:11" x14ac:dyDescent="0.55000000000000004">
      <c r="D132" s="51"/>
      <c r="E132" s="55"/>
      <c r="F132" s="55"/>
      <c r="G132" s="55"/>
      <c r="H132" s="70"/>
      <c r="I132" s="70"/>
      <c r="J132" s="70"/>
      <c r="K132" s="70"/>
    </row>
  </sheetData>
  <sheetProtection algorithmName="SHA-512" hashValue="eOUowTZ4ZvnFFvmxjz9IFpO0d0LUL2AXe0sQpI+15Yda49qKHXtHzfBvsja0dbuF4PtFztVHDk/+Z6GncAr9PA==" saltValue="NZ76B2JOwjHJecKiPNrOzw==" spinCount="100000" sheet="1" objects="1" scenarios="1"/>
  <protectedRanges>
    <protectedRange sqref="J59:J66 O59:O66 T59:T66" name="Range8"/>
    <protectedRange sqref="F21:F29" name="Range6"/>
    <protectedRange sqref="G14" name="Range4"/>
    <protectedRange sqref="F11:F14" name="Range2"/>
    <protectedRange sqref="F8" name="Range1"/>
    <protectedRange sqref="G11:G12" name="Range3"/>
    <protectedRange sqref="F17:G19" name="Range5"/>
    <protectedRange sqref="J40:J47 O40:O47 T40:T47" name="Range7"/>
  </protectedRanges>
  <mergeCells count="39">
    <mergeCell ref="B112:C112"/>
    <mergeCell ref="E112:J112"/>
    <mergeCell ref="L112:P112"/>
    <mergeCell ref="R112:Z112"/>
    <mergeCell ref="AD112:AE112"/>
    <mergeCell ref="B93:C93"/>
    <mergeCell ref="E93:M93"/>
    <mergeCell ref="O93:U93"/>
    <mergeCell ref="W93:AE93"/>
    <mergeCell ref="AG93:AO93"/>
    <mergeCell ref="AQ55:AS55"/>
    <mergeCell ref="B74:D74"/>
    <mergeCell ref="F74:H74"/>
    <mergeCell ref="J74:M74"/>
    <mergeCell ref="O74:R74"/>
    <mergeCell ref="W74:AB74"/>
    <mergeCell ref="AD74:AI74"/>
    <mergeCell ref="AK74:AL74"/>
    <mergeCell ref="AN74:AO74"/>
    <mergeCell ref="AQ74:AS74"/>
    <mergeCell ref="B55:D55"/>
    <mergeCell ref="F55:H55"/>
    <mergeCell ref="J55:M55"/>
    <mergeCell ref="O55:R55"/>
    <mergeCell ref="W55:AB55"/>
    <mergeCell ref="T55:U55"/>
    <mergeCell ref="B36:D36"/>
    <mergeCell ref="F36:H36"/>
    <mergeCell ref="J36:M36"/>
    <mergeCell ref="O36:R36"/>
    <mergeCell ref="W36:AB36"/>
    <mergeCell ref="T36:U36"/>
    <mergeCell ref="T74:U74"/>
    <mergeCell ref="AK36:AL36"/>
    <mergeCell ref="AN36:AO36"/>
    <mergeCell ref="AD55:AI55"/>
    <mergeCell ref="AK55:AL55"/>
    <mergeCell ref="AN55:AO55"/>
    <mergeCell ref="AD36:AI36"/>
  </mergeCells>
  <dataValidations count="14">
    <dataValidation type="decimal" operator="greaterThanOrEqual" allowBlank="1" showInputMessage="1" showErrorMessage="1" error="Claims ratio cannot be negative" sqref="F11:G11" xr:uid="{C2759BFB-D161-4228-9C54-C3AA43E71B9E}">
      <formula1>0</formula1>
    </dataValidation>
    <dataValidation type="decimal" allowBlank="1" showInputMessage="1" showErrorMessage="1" error="Lapsre ratio should be between 0 and 100%" sqref="F19:G19" xr:uid="{D20B27C2-51D8-4546-8808-ED3815C9A963}">
      <formula1>0</formula1>
      <formula2>1</formula2>
    </dataValidation>
    <dataValidation type="list" operator="greaterThanOrEqual" allowBlank="1" showInputMessage="1" showErrorMessage="1" error="Discount rate cannot be negative" sqref="F26" xr:uid="{B6CEA918-2813-412F-A9B3-2132EBA6932D}">
      <formula1>"time, policies IF, risk, immediate"</formula1>
    </dataValidation>
    <dataValidation type="list" operator="greaterThanOrEqual" allowBlank="1" showInputMessage="1" showErrorMessage="1" error="Discount rate cannot be negative" sqref="F23:F25 F27 F29" xr:uid="{3B2898EB-CA6B-43CE-A086-DC94B47C4266}">
      <formula1>"yes, no"</formula1>
    </dataValidation>
    <dataValidation type="decimal" operator="greaterThan" allowBlank="1" showInputMessage="1" showErrorMessage="1" error="Coverage units have to be greater than zero" sqref="J59:M66 J78:M85 O59:O66 O40:O47 O78:O85 J40:M47 T40:T50 T59:T69 T78:T88" xr:uid="{B0697064-D456-46A1-B01D-0E6780A9A161}">
      <formula1>0</formula1>
    </dataValidation>
    <dataValidation type="decimal" operator="greaterThan" allowBlank="1" showInputMessage="1" showErrorMessage="1" error="Risk distribution weights have to be greater than zero" sqref="P59:Q66 P78:Q85 P40:Q47 U40:U50 U59:U69 U78:U88" xr:uid="{48EAA0EB-EA0A-48A7-91CB-DA589710F275}">
      <formula1>0</formula1>
    </dataValidation>
    <dataValidation type="decimal" operator="greaterThanOrEqual" allowBlank="1" showInputMessage="1" showErrorMessage="1" error="Discount rate cannot be negative" sqref="F17:G18" xr:uid="{3BEE1314-675A-45BF-A577-A981986C53C5}">
      <formula1>0</formula1>
    </dataValidation>
    <dataValidation type="decimal" operator="greaterThan" allowBlank="1" showInputMessage="1" showErrorMessage="1" error="Total premiums have to be greater than zero" sqref="F21" xr:uid="{9E465004-DA7A-48BC-81C7-454650F60753}">
      <formula1>0</formula1>
    </dataValidation>
    <dataValidation type="decimal" operator="greaterThanOrEqual" allowBlank="1" showInputMessage="1" showErrorMessage="1" error="Risk adjustment percentage cannot be negative" sqref="F14:G14" xr:uid="{F6E6E343-8A33-4050-875B-D57A25144B71}">
      <formula1>0</formula1>
    </dataValidation>
    <dataValidation type="decimal" operator="greaterThanOrEqual" allowBlank="1" showInputMessage="1" showErrorMessage="1" error="Acquisition cost ratio cannot be negative" sqref="F13:G13" xr:uid="{EB143EA9-D9B5-4E92-8D5B-D387539586B9}">
      <formula1>0</formula1>
    </dataValidation>
    <dataValidation type="decimal" operator="greaterThanOrEqual" allowBlank="1" showInputMessage="1" showErrorMessage="1" error="Expense ratio cannot be negative" sqref="F12:G12" xr:uid="{05E6567D-5D8E-4523-8334-33D929A427B3}">
      <formula1>0</formula1>
    </dataValidation>
    <dataValidation type="list" allowBlank="1" showInputMessage="1" showErrorMessage="1" sqref="F22" xr:uid="{73774596-E708-40DE-B599-1B6D267590D9}">
      <formula1>"single,annual,semi-ann,quarterly,pattern"</formula1>
    </dataValidation>
    <dataValidation type="list" allowBlank="1" showInputMessage="1" showErrorMessage="1" sqref="F8" xr:uid="{0D3AAE5D-DD59-41EC-AB85-41447E89BA04}">
      <formula1>$C$40:$C$47</formula1>
    </dataValidation>
    <dataValidation type="list" operator="greaterThanOrEqual" allowBlank="1" showInputMessage="1" showErrorMessage="1" error="Discount rate cannot be negative" sqref="F28" xr:uid="{C3DD8C5F-CBE0-48F9-A66A-0351260A14D9}">
      <formula1>"time, policies IF, risk"</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866C7-B34F-4417-AB88-3D835E7365CD}">
  <sheetPr>
    <tabColor theme="4" tint="-0.249977111117893"/>
  </sheetPr>
  <dimension ref="A5:BK152"/>
  <sheetViews>
    <sheetView showGridLines="0" zoomScale="70" zoomScaleNormal="70" workbookViewId="0">
      <pane ySplit="3" topLeftCell="A4" activePane="bottomLeft" state="frozen"/>
      <selection pane="bottomLeft" activeCell="A32" sqref="A32"/>
    </sheetView>
  </sheetViews>
  <sheetFormatPr defaultRowHeight="14.4" outlineLevelRow="1" x14ac:dyDescent="0.55000000000000004"/>
  <cols>
    <col min="1" max="1" width="5.578125" customWidth="1"/>
    <col min="2" max="32" width="12.68359375" customWidth="1"/>
    <col min="33" max="33" width="12.68359375" style="11" customWidth="1"/>
    <col min="34" max="45" width="12.68359375" customWidth="1"/>
    <col min="46" max="67" width="9.15625" customWidth="1"/>
  </cols>
  <sheetData>
    <row r="5" spans="2:63" ht="18.3" x14ac:dyDescent="0.7">
      <c r="B5" s="2"/>
      <c r="C5" s="2"/>
      <c r="D5" s="2"/>
      <c r="E5" s="2"/>
      <c r="F5" s="2"/>
      <c r="G5" s="2"/>
      <c r="H5" s="2"/>
      <c r="I5" s="2"/>
      <c r="J5" s="2"/>
      <c r="K5" s="96"/>
      <c r="L5" s="2"/>
      <c r="M5" s="2"/>
      <c r="N5" s="2"/>
      <c r="O5" s="2"/>
      <c r="P5" s="2"/>
      <c r="Q5" s="2"/>
      <c r="R5" s="2"/>
      <c r="S5" s="2"/>
      <c r="T5" s="2"/>
      <c r="U5" s="2"/>
      <c r="V5" s="2"/>
      <c r="W5" s="2"/>
      <c r="X5" s="2"/>
      <c r="Y5" s="2"/>
      <c r="Z5" s="2"/>
      <c r="AA5" s="128"/>
      <c r="AB5" s="128"/>
      <c r="AC5" s="128"/>
      <c r="AD5" s="128"/>
      <c r="AE5" s="128"/>
      <c r="AF5" s="128"/>
      <c r="AG5" s="128"/>
      <c r="AH5" s="128"/>
      <c r="AI5" s="128"/>
      <c r="AJ5" s="128"/>
      <c r="AK5" s="128"/>
      <c r="AL5" s="128"/>
      <c r="AM5" s="128"/>
      <c r="AN5" s="128"/>
      <c r="AO5" s="2"/>
      <c r="AP5" s="2"/>
      <c r="AQ5" s="2"/>
      <c r="AR5" s="2"/>
      <c r="AS5" s="2"/>
      <c r="AT5" s="2"/>
      <c r="AU5" s="2"/>
      <c r="AV5" s="2"/>
      <c r="AW5" s="2"/>
      <c r="AX5" s="2"/>
      <c r="AY5" s="2"/>
      <c r="AZ5" s="2"/>
      <c r="BA5" s="2"/>
      <c r="BB5" s="2"/>
      <c r="BC5" s="2"/>
      <c r="BD5" s="2"/>
      <c r="BE5" s="2"/>
      <c r="BF5" s="2"/>
      <c r="BG5" s="2"/>
      <c r="BH5" s="2"/>
      <c r="BI5" s="2"/>
      <c r="BJ5" s="2"/>
      <c r="BK5" s="2"/>
    </row>
    <row r="6" spans="2:63" x14ac:dyDescent="0.55000000000000004">
      <c r="B6" s="2"/>
      <c r="C6" s="2"/>
      <c r="D6" s="2"/>
      <c r="E6" s="2"/>
      <c r="F6" s="2"/>
      <c r="G6" s="2"/>
      <c r="H6" s="2"/>
      <c r="I6" s="2"/>
      <c r="J6" s="2"/>
      <c r="K6" s="2"/>
      <c r="L6" s="2"/>
      <c r="M6" s="2"/>
      <c r="N6" s="2"/>
      <c r="O6" s="2"/>
      <c r="P6" s="2"/>
      <c r="Q6" s="2"/>
      <c r="R6" s="2"/>
      <c r="S6" s="2"/>
      <c r="T6" s="2"/>
      <c r="U6" s="2"/>
      <c r="V6" s="2"/>
      <c r="W6" s="2"/>
      <c r="X6" s="2"/>
      <c r="Y6" s="2"/>
      <c r="Z6" s="2"/>
      <c r="AA6" s="128"/>
      <c r="AB6" s="128"/>
      <c r="AC6" s="128"/>
      <c r="AD6" s="128"/>
      <c r="AE6" s="128"/>
      <c r="AF6" s="128"/>
      <c r="AG6" s="128"/>
      <c r="AH6" s="128"/>
      <c r="AI6" s="128"/>
      <c r="AJ6" s="128"/>
      <c r="AK6" s="128"/>
      <c r="AL6" s="128"/>
      <c r="AM6" s="128"/>
      <c r="AN6" s="128"/>
      <c r="AO6" s="2"/>
      <c r="AP6" s="2"/>
      <c r="AQ6" s="2"/>
      <c r="AR6" s="2"/>
      <c r="AS6" s="2"/>
      <c r="AT6" s="2"/>
      <c r="AU6" s="2"/>
      <c r="AV6" s="2"/>
      <c r="AW6" s="2"/>
      <c r="AX6" s="2"/>
      <c r="AY6" s="2"/>
      <c r="AZ6" s="2"/>
      <c r="BA6" s="2"/>
      <c r="BB6" s="2"/>
      <c r="BC6" s="2"/>
      <c r="BD6" s="2"/>
      <c r="BE6" s="2"/>
      <c r="BF6" s="2"/>
      <c r="BG6" s="2"/>
      <c r="BH6" s="2"/>
      <c r="BI6" s="2"/>
      <c r="BJ6" s="2"/>
      <c r="BK6" s="2"/>
    </row>
    <row r="7" spans="2:63" x14ac:dyDescent="0.55000000000000004">
      <c r="B7" s="141" t="s">
        <v>160</v>
      </c>
      <c r="C7" s="2"/>
      <c r="D7" s="2"/>
      <c r="E7" s="2"/>
      <c r="F7" s="107">
        <v>3</v>
      </c>
      <c r="G7" s="107"/>
      <c r="H7" s="2"/>
      <c r="I7" s="2"/>
      <c r="J7" s="2"/>
      <c r="K7" s="2"/>
      <c r="L7" s="2"/>
      <c r="M7" s="2"/>
      <c r="N7" s="2"/>
      <c r="O7" s="2"/>
      <c r="P7" s="2"/>
      <c r="Q7" s="2"/>
      <c r="R7" s="2"/>
      <c r="S7" s="2"/>
      <c r="T7" s="2"/>
      <c r="U7" s="2"/>
      <c r="V7" s="2"/>
      <c r="W7" s="2"/>
      <c r="X7" s="2"/>
      <c r="Y7" s="2"/>
      <c r="Z7" s="2"/>
      <c r="AA7" s="128"/>
      <c r="AB7" s="128"/>
      <c r="AC7" s="128"/>
      <c r="AD7" s="128"/>
      <c r="AE7" s="128"/>
      <c r="AF7" s="128"/>
      <c r="AG7" s="128"/>
      <c r="AH7" s="128"/>
      <c r="AI7" s="128"/>
      <c r="AJ7" s="128"/>
      <c r="AK7" s="128"/>
      <c r="AL7" s="128"/>
      <c r="AM7" s="128"/>
      <c r="AN7" s="128"/>
      <c r="AO7" s="2"/>
      <c r="AP7" s="2"/>
      <c r="AQ7" s="2"/>
      <c r="AR7" s="2"/>
      <c r="AS7" s="2"/>
      <c r="AT7" s="2"/>
      <c r="AU7" s="2"/>
      <c r="AV7" s="2"/>
      <c r="AW7" s="2"/>
      <c r="AX7" s="2"/>
      <c r="AY7" s="2"/>
      <c r="AZ7" s="2"/>
      <c r="BA7" s="2"/>
      <c r="BB7" s="2"/>
      <c r="BC7" s="2"/>
      <c r="BD7" s="2"/>
      <c r="BE7" s="2"/>
      <c r="BF7" s="2"/>
      <c r="BG7" s="2"/>
      <c r="BH7" s="2"/>
      <c r="BI7" s="2"/>
      <c r="BJ7" s="2"/>
      <c r="BK7" s="2"/>
    </row>
    <row r="8" spans="2:63" x14ac:dyDescent="0.55000000000000004">
      <c r="B8" s="141" t="s">
        <v>168</v>
      </c>
      <c r="C8" s="2"/>
      <c r="D8" s="2"/>
      <c r="E8" s="2"/>
      <c r="F8" s="104">
        <v>7</v>
      </c>
      <c r="G8" s="107"/>
      <c r="H8" s="2"/>
      <c r="I8" s="2"/>
      <c r="J8" s="2"/>
      <c r="K8" s="2"/>
      <c r="L8" s="2"/>
      <c r="M8" s="2"/>
      <c r="N8" s="2"/>
      <c r="O8" s="2"/>
      <c r="P8" s="2"/>
      <c r="Q8" s="2"/>
      <c r="R8" s="2"/>
      <c r="S8" s="2"/>
      <c r="T8" s="2"/>
      <c r="U8" s="2"/>
      <c r="V8" s="2"/>
      <c r="W8" s="2"/>
      <c r="X8" s="2"/>
      <c r="Y8" s="2"/>
      <c r="Z8" s="2"/>
      <c r="AA8" s="128"/>
      <c r="AB8" s="128"/>
      <c r="AC8" s="128"/>
      <c r="AD8" s="128"/>
      <c r="AE8" s="128"/>
      <c r="AF8" s="128"/>
      <c r="AG8" s="128"/>
      <c r="AH8" s="128"/>
      <c r="AI8" s="128"/>
      <c r="AJ8" s="128"/>
      <c r="AK8" s="128"/>
      <c r="AL8" s="128"/>
      <c r="AM8" s="128"/>
      <c r="AN8" s="128"/>
      <c r="AO8" s="2"/>
      <c r="AP8" s="2"/>
      <c r="AQ8" s="2"/>
      <c r="AR8" s="2"/>
      <c r="AS8" s="2"/>
      <c r="AT8" s="2"/>
      <c r="AU8" s="2"/>
      <c r="AV8" s="2"/>
      <c r="AW8" s="2"/>
      <c r="AX8" s="2"/>
      <c r="AY8" s="2"/>
      <c r="AZ8" s="2"/>
      <c r="BA8" s="2"/>
      <c r="BB8" s="2"/>
      <c r="BC8" s="2"/>
      <c r="BD8" s="2"/>
      <c r="BE8" s="2"/>
      <c r="BF8" s="2"/>
      <c r="BG8" s="2"/>
      <c r="BH8" s="2"/>
      <c r="BI8" s="2"/>
      <c r="BJ8" s="2"/>
      <c r="BK8" s="2"/>
    </row>
    <row r="9" spans="2:63" x14ac:dyDescent="0.55000000000000004">
      <c r="B9" s="142"/>
      <c r="C9" s="2"/>
      <c r="D9" s="2"/>
      <c r="E9" s="2"/>
      <c r="F9" s="2"/>
      <c r="G9" s="2"/>
      <c r="H9" s="2"/>
      <c r="I9" s="2"/>
      <c r="J9" s="2"/>
      <c r="K9" s="2"/>
      <c r="L9" s="2"/>
      <c r="M9" s="2"/>
      <c r="N9" s="2"/>
      <c r="O9" s="2"/>
      <c r="P9" s="2"/>
      <c r="Q9" s="2"/>
      <c r="R9" s="2"/>
      <c r="S9" s="2"/>
      <c r="T9" s="2"/>
      <c r="U9" s="2"/>
      <c r="V9" s="2"/>
      <c r="W9" s="2"/>
      <c r="X9" s="2"/>
      <c r="Y9" s="2"/>
      <c r="Z9" s="2"/>
      <c r="AA9" s="128"/>
      <c r="AB9" s="128"/>
      <c r="AC9" s="128"/>
      <c r="AD9" s="128"/>
      <c r="AE9" s="128"/>
      <c r="AF9" s="128"/>
      <c r="AG9" s="128"/>
      <c r="AH9" s="128"/>
      <c r="AI9" s="128"/>
      <c r="AJ9" s="128"/>
      <c r="AK9" s="128"/>
      <c r="AL9" s="128"/>
      <c r="AM9" s="128"/>
      <c r="AN9" s="128"/>
      <c r="AO9" s="2"/>
      <c r="AP9" s="2"/>
      <c r="AQ9" s="2"/>
      <c r="AR9" s="2"/>
      <c r="AS9" s="2"/>
      <c r="AT9" s="2"/>
      <c r="AU9" s="2"/>
      <c r="AV9" s="2"/>
      <c r="AW9" s="2"/>
      <c r="AX9" s="2"/>
      <c r="AY9" s="2"/>
      <c r="AZ9" s="2"/>
      <c r="BA9" s="2"/>
      <c r="BB9" s="2"/>
      <c r="BC9" s="2"/>
      <c r="BD9" s="2"/>
      <c r="BE9" s="2"/>
      <c r="BF9" s="2"/>
      <c r="BG9" s="2"/>
      <c r="BH9" s="2"/>
      <c r="BI9" s="2"/>
      <c r="BJ9" s="2"/>
      <c r="BK9" s="2"/>
    </row>
    <row r="10" spans="2:63" ht="14.5" customHeight="1" x14ac:dyDescent="0.55000000000000004">
      <c r="B10" s="142"/>
      <c r="C10" s="2"/>
      <c r="D10" s="2"/>
      <c r="E10" s="2"/>
      <c r="F10" s="140" t="s">
        <v>161</v>
      </c>
      <c r="G10" s="140" t="s">
        <v>162</v>
      </c>
      <c r="I10" s="2"/>
      <c r="J10" s="2"/>
      <c r="K10" s="2"/>
      <c r="L10" s="2"/>
      <c r="M10" s="2"/>
      <c r="N10" s="2"/>
      <c r="O10" s="2"/>
      <c r="P10" s="2"/>
      <c r="Q10" s="2"/>
      <c r="R10" s="2"/>
      <c r="S10" s="2"/>
      <c r="T10" s="2"/>
      <c r="U10" s="2"/>
      <c r="V10" s="2"/>
      <c r="W10" s="2"/>
      <c r="X10" s="2"/>
      <c r="Y10" s="2"/>
      <c r="Z10" s="2"/>
      <c r="AA10" s="128"/>
      <c r="AB10" s="128"/>
      <c r="AC10" s="128"/>
      <c r="AD10" s="128"/>
      <c r="AE10" s="128"/>
      <c r="AF10" s="128"/>
      <c r="AG10" s="128"/>
      <c r="AH10" s="128"/>
      <c r="AI10" s="128"/>
      <c r="AJ10" s="128"/>
      <c r="AK10" s="128"/>
      <c r="AL10" s="128"/>
      <c r="AM10" s="128"/>
      <c r="AN10" s="128"/>
      <c r="AO10" s="2"/>
      <c r="AP10" s="2"/>
      <c r="AQ10" s="2"/>
      <c r="AR10" s="2"/>
      <c r="AS10" s="2"/>
      <c r="AT10" s="2"/>
      <c r="AU10" s="2"/>
      <c r="AV10" s="2"/>
      <c r="AW10" s="2"/>
      <c r="AX10" s="2"/>
      <c r="AY10" s="2"/>
      <c r="AZ10" s="2"/>
      <c r="BA10" s="2"/>
      <c r="BB10" s="2"/>
      <c r="BC10" s="2"/>
      <c r="BD10" s="2"/>
      <c r="BE10" s="2"/>
      <c r="BF10" s="2"/>
      <c r="BG10" s="2"/>
      <c r="BH10" s="2"/>
      <c r="BI10" s="2"/>
      <c r="BJ10" s="2"/>
      <c r="BK10" s="2"/>
    </row>
    <row r="11" spans="2:63" x14ac:dyDescent="0.55000000000000004">
      <c r="B11" s="141" t="s">
        <v>134</v>
      </c>
      <c r="C11" s="2"/>
      <c r="D11" s="2"/>
      <c r="E11" s="2"/>
      <c r="F11" s="102">
        <v>0.6</v>
      </c>
      <c r="G11" s="105">
        <v>0.5</v>
      </c>
      <c r="N11" s="2"/>
      <c r="O11" s="2"/>
      <c r="P11" s="2"/>
      <c r="Q11" s="2"/>
      <c r="S11" s="2"/>
      <c r="T11" s="2"/>
      <c r="U11" s="2"/>
      <c r="V11" s="2"/>
      <c r="W11" s="2"/>
      <c r="X11" s="2"/>
      <c r="Y11" s="2"/>
      <c r="Z11" s="2"/>
      <c r="AA11" s="128"/>
      <c r="AB11" s="128"/>
      <c r="AC11" s="128"/>
      <c r="AD11" s="128"/>
      <c r="AE11" s="128"/>
      <c r="AF11" s="128"/>
      <c r="AG11" s="128"/>
      <c r="AH11" s="128"/>
      <c r="AI11" s="128"/>
      <c r="AJ11" s="128"/>
      <c r="AK11" s="128"/>
      <c r="AL11" s="128"/>
      <c r="AM11" s="128"/>
      <c r="AN11" s="128"/>
      <c r="AO11" s="2"/>
      <c r="AP11" s="2"/>
      <c r="AQ11" s="2"/>
      <c r="AR11" s="2"/>
      <c r="AS11" s="2"/>
      <c r="AT11" s="2"/>
      <c r="AU11" s="2"/>
      <c r="AV11" s="2"/>
      <c r="AW11" s="2"/>
      <c r="AX11" s="2"/>
      <c r="AY11" s="2"/>
      <c r="AZ11" s="2"/>
      <c r="BA11" s="2"/>
      <c r="BB11" s="2"/>
      <c r="BC11" s="2"/>
      <c r="BD11" s="2"/>
      <c r="BE11" s="2"/>
      <c r="BF11" s="2"/>
      <c r="BG11" s="2"/>
      <c r="BH11" s="2"/>
      <c r="BI11" s="2"/>
      <c r="BJ11" s="2"/>
      <c r="BK11" s="2"/>
    </row>
    <row r="12" spans="2:63" x14ac:dyDescent="0.55000000000000004">
      <c r="B12" s="141" t="s">
        <v>165</v>
      </c>
      <c r="C12" s="2"/>
      <c r="D12" s="2"/>
      <c r="E12" s="2"/>
      <c r="F12" s="102">
        <v>0.15</v>
      </c>
      <c r="G12" s="102">
        <v>0.1</v>
      </c>
      <c r="N12" s="2"/>
      <c r="O12" s="2"/>
      <c r="P12" s="2"/>
      <c r="Q12" s="2"/>
      <c r="S12" s="2"/>
      <c r="T12" s="2"/>
      <c r="U12" s="2"/>
      <c r="V12" s="2"/>
      <c r="W12" s="2"/>
      <c r="X12" s="2"/>
      <c r="Y12" s="2"/>
      <c r="Z12" s="2"/>
      <c r="AA12" s="128"/>
      <c r="AB12" s="128"/>
      <c r="AC12" s="128"/>
      <c r="AD12" s="128"/>
      <c r="AE12" s="128"/>
      <c r="AF12" s="128"/>
      <c r="AG12" s="128"/>
      <c r="AH12" s="128"/>
      <c r="AI12" s="128"/>
      <c r="AJ12" s="128"/>
      <c r="AK12" s="128"/>
      <c r="AL12" s="128"/>
      <c r="AM12" s="128"/>
      <c r="AN12" s="128"/>
      <c r="AO12" s="2"/>
      <c r="AP12" s="2"/>
      <c r="AQ12" s="2"/>
      <c r="AR12" s="2"/>
      <c r="AS12" s="2"/>
      <c r="AT12" s="2"/>
      <c r="AU12" s="2"/>
      <c r="AV12" s="2"/>
      <c r="AW12" s="2"/>
      <c r="AX12" s="2"/>
      <c r="AY12" s="2"/>
      <c r="AZ12" s="2"/>
      <c r="BA12" s="2"/>
      <c r="BB12" s="2"/>
      <c r="BC12" s="2"/>
      <c r="BD12" s="2"/>
      <c r="BE12" s="2"/>
      <c r="BF12" s="2"/>
      <c r="BG12" s="2"/>
      <c r="BH12" s="2"/>
      <c r="BI12" s="2"/>
      <c r="BJ12" s="2"/>
      <c r="BK12" s="2"/>
    </row>
    <row r="13" spans="2:63" x14ac:dyDescent="0.55000000000000004">
      <c r="B13" s="141" t="s">
        <v>170</v>
      </c>
      <c r="C13" s="2"/>
      <c r="D13" s="2"/>
      <c r="E13" s="2"/>
      <c r="F13" s="102">
        <v>0.1</v>
      </c>
      <c r="G13" s="111">
        <f>F13</f>
        <v>0.1</v>
      </c>
      <c r="N13" s="2"/>
      <c r="O13" s="2"/>
      <c r="P13" s="2"/>
      <c r="Q13" s="2"/>
      <c r="S13" s="2"/>
      <c r="T13" s="2"/>
      <c r="U13" s="2"/>
      <c r="V13" s="2"/>
      <c r="W13" s="2"/>
      <c r="X13" s="2"/>
      <c r="Y13" s="2"/>
      <c r="Z13" s="2"/>
      <c r="AA13" s="128"/>
      <c r="AB13" s="128"/>
      <c r="AC13" s="128"/>
      <c r="AD13" s="128"/>
      <c r="AE13" s="128"/>
      <c r="AF13" s="128"/>
      <c r="AG13" s="128"/>
      <c r="AH13" s="128"/>
      <c r="AI13" s="128"/>
      <c r="AJ13" s="128"/>
      <c r="AK13" s="128"/>
      <c r="AL13" s="128"/>
      <c r="AM13" s="128"/>
      <c r="AN13" s="128"/>
      <c r="AO13" s="2"/>
      <c r="AP13" s="2"/>
      <c r="AQ13" s="2"/>
      <c r="AR13" s="2"/>
      <c r="AS13" s="2"/>
      <c r="AT13" s="2"/>
      <c r="AU13" s="2"/>
      <c r="AV13" s="2"/>
      <c r="AW13" s="2"/>
      <c r="AX13" s="2"/>
      <c r="AY13" s="2"/>
      <c r="AZ13" s="2"/>
      <c r="BA13" s="2"/>
      <c r="BB13" s="2"/>
      <c r="BC13" s="2"/>
      <c r="BD13" s="2"/>
      <c r="BE13" s="2"/>
      <c r="BF13" s="2"/>
      <c r="BG13" s="2"/>
      <c r="BH13" s="2"/>
      <c r="BI13" s="2"/>
      <c r="BJ13" s="2"/>
      <c r="BK13" s="2"/>
    </row>
    <row r="14" spans="2:63" x14ac:dyDescent="0.55000000000000004">
      <c r="B14" s="141" t="s">
        <v>395</v>
      </c>
      <c r="C14" s="2"/>
      <c r="D14" s="2"/>
      <c r="E14" s="2"/>
      <c r="F14" s="102">
        <v>0.05</v>
      </c>
      <c r="G14" s="102">
        <v>0.03</v>
      </c>
      <c r="N14" s="2"/>
      <c r="O14" s="2"/>
      <c r="P14" s="2"/>
      <c r="Q14" s="2"/>
      <c r="S14" s="2"/>
      <c r="T14" s="2"/>
      <c r="U14" s="2"/>
      <c r="V14" s="2"/>
      <c r="W14" s="2"/>
      <c r="X14" s="2"/>
      <c r="Y14" s="2"/>
      <c r="Z14" s="2"/>
      <c r="AA14" s="128"/>
      <c r="AB14" s="128"/>
      <c r="AC14" s="128"/>
      <c r="AD14" s="128"/>
      <c r="AE14" s="128"/>
      <c r="AF14" s="128"/>
      <c r="AG14" s="128"/>
      <c r="AH14" s="128"/>
      <c r="AI14" s="128"/>
      <c r="AJ14" s="128"/>
      <c r="AK14" s="128"/>
      <c r="AL14" s="128"/>
      <c r="AM14" s="128"/>
      <c r="AN14" s="128"/>
      <c r="AO14" s="2"/>
      <c r="AP14" s="2"/>
      <c r="AQ14" s="2"/>
      <c r="AR14" s="2"/>
      <c r="AS14" s="2"/>
      <c r="AT14" s="2"/>
      <c r="AU14" s="2"/>
      <c r="AV14" s="2"/>
      <c r="AW14" s="2"/>
      <c r="AX14" s="2"/>
      <c r="AY14" s="2"/>
      <c r="AZ14" s="2"/>
      <c r="BA14" s="2"/>
      <c r="BB14" s="2"/>
      <c r="BC14" s="2"/>
      <c r="BD14" s="2"/>
      <c r="BE14" s="2"/>
      <c r="BF14" s="2"/>
      <c r="BG14" s="2"/>
      <c r="BH14" s="2"/>
      <c r="BI14" s="2"/>
      <c r="BJ14" s="2"/>
      <c r="BK14" s="2"/>
    </row>
    <row r="15" spans="2:63" x14ac:dyDescent="0.55000000000000004">
      <c r="B15" s="141" t="s">
        <v>166</v>
      </c>
      <c r="C15" s="2"/>
      <c r="D15" s="2"/>
      <c r="E15" s="2"/>
      <c r="F15" s="103">
        <f>(F11+F12)*(1+F14)+F13</f>
        <v>0.88750000000000007</v>
      </c>
      <c r="G15" s="130">
        <f>(G11+G12)*(1+G14)+G13</f>
        <v>0.71799999999999997</v>
      </c>
      <c r="N15" s="2"/>
      <c r="O15" s="2"/>
      <c r="P15" s="2"/>
      <c r="Q15" s="2"/>
      <c r="S15" s="2"/>
      <c r="T15" s="2"/>
      <c r="U15" s="2"/>
      <c r="V15" s="2"/>
      <c r="W15" s="2"/>
      <c r="X15" s="2"/>
      <c r="Y15" s="2"/>
      <c r="Z15" s="2"/>
      <c r="AA15" s="128"/>
      <c r="AB15" s="128"/>
      <c r="AC15" s="128"/>
      <c r="AD15" s="128"/>
      <c r="AE15" s="128"/>
      <c r="AF15" s="128"/>
      <c r="AG15" s="128"/>
      <c r="AH15" s="128"/>
      <c r="AI15" s="128"/>
      <c r="AJ15" s="128"/>
      <c r="AK15" s="128"/>
      <c r="AL15" s="128"/>
      <c r="AM15" s="128"/>
      <c r="AN15" s="128"/>
      <c r="AO15" s="2"/>
      <c r="AP15" s="2"/>
      <c r="AQ15" s="2"/>
      <c r="AR15" s="2"/>
      <c r="AS15" s="2"/>
      <c r="AT15" s="2"/>
      <c r="AU15" s="2"/>
      <c r="AV15" s="2"/>
      <c r="AW15" s="2"/>
      <c r="AY15" s="2"/>
      <c r="AZ15" s="2"/>
      <c r="BA15" s="2"/>
      <c r="BB15" s="2"/>
      <c r="BC15" s="2"/>
      <c r="BD15" s="2"/>
      <c r="BE15" s="2"/>
      <c r="BF15" s="2"/>
      <c r="BG15" s="2"/>
      <c r="BH15" s="2"/>
      <c r="BI15" s="2"/>
      <c r="BJ15" s="2"/>
      <c r="BK15" s="2"/>
    </row>
    <row r="16" spans="2:63" x14ac:dyDescent="0.55000000000000004">
      <c r="B16" s="141"/>
      <c r="C16" s="2"/>
      <c r="D16" s="2"/>
      <c r="E16" s="2"/>
      <c r="F16" s="97"/>
      <c r="G16" s="97"/>
      <c r="N16" s="2"/>
      <c r="O16" s="2"/>
      <c r="P16" s="2"/>
      <c r="Q16" s="2"/>
      <c r="S16" s="2"/>
      <c r="T16" s="2"/>
      <c r="U16" s="2"/>
      <c r="V16" s="2"/>
      <c r="W16" s="2"/>
      <c r="X16" s="2"/>
      <c r="Y16" s="2"/>
      <c r="Z16" s="2"/>
      <c r="AA16" s="128"/>
      <c r="AB16" s="128"/>
      <c r="AC16" s="128"/>
      <c r="AD16" s="128"/>
      <c r="AE16" s="128"/>
      <c r="AF16" s="128"/>
      <c r="AG16" s="128"/>
      <c r="AH16" s="128"/>
      <c r="AI16" s="128"/>
      <c r="AJ16" s="128"/>
      <c r="AK16" s="128"/>
      <c r="AL16" s="128"/>
      <c r="AM16" s="128"/>
      <c r="AN16" s="128"/>
      <c r="AO16" s="2"/>
      <c r="AP16" s="2"/>
      <c r="AQ16" s="2"/>
      <c r="AR16" s="2"/>
      <c r="AS16" s="2"/>
      <c r="AT16" s="2"/>
      <c r="AU16" s="2"/>
      <c r="AV16" s="2"/>
      <c r="AW16" s="2"/>
      <c r="AY16" s="2"/>
      <c r="AZ16" s="2"/>
      <c r="BA16" s="2"/>
      <c r="BB16" s="2"/>
      <c r="BC16" s="2"/>
      <c r="BD16" s="2"/>
      <c r="BE16" s="2"/>
      <c r="BF16" s="2"/>
      <c r="BG16" s="2"/>
      <c r="BH16" s="2"/>
      <c r="BI16" s="2"/>
      <c r="BJ16" s="2"/>
      <c r="BK16" s="2"/>
    </row>
    <row r="17" spans="2:63" x14ac:dyDescent="0.55000000000000004">
      <c r="B17" s="141" t="s">
        <v>156</v>
      </c>
      <c r="C17" s="2"/>
      <c r="D17" s="2"/>
      <c r="E17" s="2"/>
      <c r="F17" s="102">
        <v>0.02</v>
      </c>
      <c r="G17" s="105">
        <v>0.01</v>
      </c>
      <c r="N17" s="2"/>
      <c r="O17" s="2"/>
      <c r="P17" s="2"/>
      <c r="Q17" s="2"/>
      <c r="S17" s="2"/>
      <c r="T17" s="2"/>
      <c r="U17" s="2"/>
      <c r="V17" s="2"/>
      <c r="W17" s="2"/>
      <c r="X17" s="2"/>
      <c r="Y17" s="2"/>
      <c r="Z17" s="2"/>
      <c r="AA17" s="128"/>
      <c r="AB17" s="128"/>
      <c r="AC17" s="128"/>
      <c r="AD17" s="128"/>
      <c r="AE17" s="128"/>
      <c r="AF17" s="128"/>
      <c r="AG17" s="128"/>
      <c r="AH17" s="128"/>
      <c r="AI17" s="128"/>
      <c r="AJ17" s="128"/>
      <c r="AK17" s="128"/>
      <c r="AL17" s="128"/>
      <c r="AM17" s="128"/>
      <c r="AN17" s="128"/>
      <c r="AO17" s="2"/>
      <c r="AP17" s="2"/>
      <c r="AQ17" s="2"/>
      <c r="AR17" s="2"/>
      <c r="AS17" s="2"/>
      <c r="AT17" s="2"/>
      <c r="AU17" s="2"/>
      <c r="AV17" s="2"/>
      <c r="AW17" s="2"/>
      <c r="AY17" s="2"/>
      <c r="AZ17" s="2"/>
      <c r="BA17" s="2"/>
      <c r="BB17" s="2"/>
      <c r="BC17" s="2"/>
      <c r="BD17" s="2"/>
      <c r="BE17" s="2"/>
      <c r="BF17" s="2"/>
      <c r="BG17" s="2"/>
      <c r="BH17" s="2"/>
      <c r="BI17" s="2"/>
      <c r="BJ17" s="2"/>
      <c r="BK17" s="2"/>
    </row>
    <row r="18" spans="2:63" x14ac:dyDescent="0.55000000000000004">
      <c r="B18" s="141" t="s">
        <v>137</v>
      </c>
      <c r="F18" s="102">
        <v>0.01</v>
      </c>
      <c r="G18" s="102">
        <v>5.0000000000000001E-3</v>
      </c>
      <c r="N18" s="2"/>
      <c r="O18" s="2"/>
      <c r="P18" s="2"/>
      <c r="Q18" s="2"/>
      <c r="S18" s="2"/>
      <c r="T18" s="2"/>
      <c r="U18" s="2"/>
      <c r="V18" s="2"/>
      <c r="W18" s="2"/>
      <c r="X18" s="2"/>
      <c r="Y18" s="2"/>
      <c r="Z18" s="2"/>
      <c r="AA18" s="128"/>
      <c r="AB18" s="128"/>
      <c r="AC18" s="128"/>
      <c r="AD18" s="128"/>
      <c r="AE18" s="128"/>
      <c r="AF18" s="128"/>
      <c r="AG18" s="128"/>
      <c r="AH18" s="128"/>
      <c r="AI18" s="128"/>
      <c r="AJ18" s="128"/>
      <c r="AK18" s="128"/>
      <c r="AL18" s="128"/>
      <c r="AM18" s="128"/>
      <c r="AN18" s="128"/>
      <c r="AO18" s="2"/>
      <c r="AP18" s="2"/>
      <c r="AQ18" s="2"/>
      <c r="AR18" s="2"/>
      <c r="AS18" s="2"/>
      <c r="AT18" s="2"/>
      <c r="AU18" s="2"/>
      <c r="AV18" s="2"/>
      <c r="AW18" s="2"/>
      <c r="AY18" s="2"/>
      <c r="AZ18" s="2"/>
      <c r="BA18" s="2"/>
      <c r="BB18" s="2"/>
      <c r="BC18" s="2"/>
      <c r="BD18" s="2"/>
      <c r="BE18" s="2"/>
      <c r="BF18" s="2"/>
      <c r="BG18" s="2"/>
      <c r="BH18" s="2"/>
      <c r="BI18" s="2"/>
      <c r="BJ18" s="2"/>
      <c r="BK18" s="2"/>
    </row>
    <row r="19" spans="2:63" x14ac:dyDescent="0.55000000000000004">
      <c r="B19" s="141" t="s">
        <v>118</v>
      </c>
      <c r="C19" s="2"/>
      <c r="D19" s="2"/>
      <c r="E19" s="2"/>
      <c r="F19" s="102">
        <v>0.2</v>
      </c>
      <c r="G19" s="102">
        <v>0.1</v>
      </c>
      <c r="N19" s="2"/>
      <c r="O19" s="2"/>
      <c r="P19" s="2"/>
      <c r="Q19" s="2"/>
      <c r="S19" s="2"/>
      <c r="T19" s="2"/>
      <c r="U19" s="2"/>
      <c r="V19" s="2"/>
      <c r="W19" s="2"/>
      <c r="X19" s="2"/>
      <c r="Y19" s="2"/>
      <c r="Z19" s="2"/>
      <c r="AA19" s="128"/>
      <c r="AB19" s="128"/>
      <c r="AC19" s="128"/>
      <c r="AD19" s="128"/>
      <c r="AE19" s="128"/>
      <c r="AF19" s="128"/>
      <c r="AG19" s="128"/>
      <c r="AH19" s="128"/>
      <c r="AI19" s="128"/>
      <c r="AJ19" s="128"/>
      <c r="AK19" s="128"/>
      <c r="AL19" s="128"/>
      <c r="AM19" s="128"/>
      <c r="AN19" s="128"/>
      <c r="AO19" s="2"/>
      <c r="AP19" s="2"/>
      <c r="AQ19" s="2"/>
      <c r="AR19" s="2"/>
      <c r="AS19" s="2"/>
      <c r="AT19" s="2"/>
      <c r="AU19" s="2"/>
      <c r="AV19" s="2"/>
      <c r="AW19" s="2"/>
      <c r="AY19" s="2"/>
      <c r="AZ19" s="2"/>
      <c r="BA19" s="2"/>
      <c r="BB19" s="2"/>
      <c r="BC19" s="2"/>
      <c r="BD19" s="2"/>
      <c r="BE19" s="2"/>
      <c r="BF19" s="2"/>
      <c r="BG19" s="2"/>
      <c r="BH19" s="2"/>
      <c r="BI19" s="2"/>
      <c r="BJ19" s="2"/>
      <c r="BK19" s="2"/>
    </row>
    <row r="20" spans="2:63" x14ac:dyDescent="0.55000000000000004">
      <c r="B20" s="141"/>
      <c r="C20" s="2"/>
      <c r="D20" s="2"/>
      <c r="E20" s="2"/>
      <c r="F20" s="97"/>
      <c r="G20" s="97"/>
      <c r="H20" s="97"/>
      <c r="N20" s="2"/>
      <c r="O20" s="2"/>
      <c r="P20" s="2"/>
      <c r="Q20" s="2"/>
      <c r="S20" s="2"/>
      <c r="T20" s="2"/>
      <c r="U20" s="2"/>
      <c r="V20" s="2"/>
      <c r="W20" s="2"/>
      <c r="X20" s="2"/>
      <c r="Y20" s="2"/>
      <c r="Z20" s="2"/>
      <c r="AA20" s="128"/>
      <c r="AB20" s="128"/>
      <c r="AC20" s="128"/>
      <c r="AD20" s="128"/>
      <c r="AE20" s="128"/>
      <c r="AF20" s="128"/>
      <c r="AG20" s="128"/>
      <c r="AH20" s="128"/>
      <c r="AI20" s="128"/>
      <c r="AJ20" s="128"/>
      <c r="AK20" s="128"/>
      <c r="AL20" s="128"/>
      <c r="AM20" s="128"/>
      <c r="AN20" s="128"/>
      <c r="AO20" s="2"/>
      <c r="AP20" s="2"/>
      <c r="AQ20" s="2"/>
      <c r="AR20" s="2"/>
      <c r="AS20" s="2"/>
      <c r="AT20" s="2"/>
      <c r="AU20" s="2"/>
      <c r="AV20" s="2"/>
      <c r="AW20" s="2"/>
      <c r="AY20" s="2"/>
      <c r="AZ20" s="2"/>
      <c r="BA20" s="2"/>
      <c r="BB20" s="2"/>
      <c r="BC20" s="2"/>
      <c r="BD20" s="2"/>
      <c r="BE20" s="2"/>
      <c r="BF20" s="2"/>
      <c r="BG20" s="2"/>
      <c r="BH20" s="2"/>
      <c r="BI20" s="2"/>
      <c r="BJ20" s="2"/>
      <c r="BK20" s="2"/>
    </row>
    <row r="21" spans="2:63" x14ac:dyDescent="0.55000000000000004">
      <c r="B21" s="141" t="s">
        <v>434</v>
      </c>
      <c r="C21" s="2"/>
      <c r="D21" s="2"/>
      <c r="E21" s="2"/>
      <c r="F21" s="104">
        <v>9000000</v>
      </c>
      <c r="H21" s="97"/>
      <c r="N21" s="2"/>
      <c r="O21" s="2"/>
      <c r="P21" s="2"/>
      <c r="Q21" s="2"/>
      <c r="S21" s="2"/>
      <c r="T21" s="2"/>
      <c r="U21" s="2"/>
      <c r="V21" s="2"/>
      <c r="W21" s="2"/>
      <c r="X21" s="2"/>
      <c r="Y21" s="2"/>
      <c r="Z21" s="2"/>
      <c r="AA21" s="128"/>
      <c r="AB21" s="128"/>
      <c r="AC21" s="128"/>
      <c r="AD21" s="128"/>
      <c r="AE21" s="128"/>
      <c r="AF21" s="128"/>
      <c r="AG21" s="128"/>
      <c r="AH21" s="128"/>
      <c r="AI21" s="128"/>
      <c r="AJ21" s="128"/>
      <c r="AK21" s="128"/>
      <c r="AL21" s="128"/>
      <c r="AM21" s="128"/>
      <c r="AN21" s="128"/>
      <c r="AO21" s="2"/>
      <c r="AP21" s="2"/>
      <c r="AQ21" s="2"/>
      <c r="AR21" s="2"/>
      <c r="AS21" s="2"/>
      <c r="AT21" s="2"/>
      <c r="AU21" s="2"/>
      <c r="AV21" s="2"/>
      <c r="AW21" s="2"/>
      <c r="AX21" s="2"/>
      <c r="AY21" s="2"/>
      <c r="AZ21" s="2"/>
      <c r="BA21" s="2"/>
      <c r="BB21" s="2"/>
      <c r="BC21" s="2"/>
      <c r="BD21" s="2"/>
      <c r="BE21" s="2"/>
      <c r="BF21" s="2"/>
      <c r="BG21" s="2"/>
      <c r="BH21" s="2"/>
      <c r="BI21" s="2"/>
      <c r="BJ21" s="2"/>
      <c r="BK21" s="2"/>
    </row>
    <row r="22" spans="2:63" x14ac:dyDescent="0.55000000000000004">
      <c r="B22" s="141" t="s">
        <v>435</v>
      </c>
      <c r="C22" s="2"/>
      <c r="D22" s="2"/>
      <c r="E22" s="2"/>
      <c r="F22" s="104" t="s">
        <v>394</v>
      </c>
      <c r="H22" s="97"/>
      <c r="N22" s="2"/>
      <c r="O22" s="2"/>
      <c r="P22" s="2"/>
      <c r="Q22" s="2"/>
      <c r="S22" s="2"/>
      <c r="T22" s="2"/>
      <c r="U22" s="2"/>
      <c r="V22" s="2"/>
      <c r="W22" s="2"/>
      <c r="X22" s="2"/>
      <c r="Y22" s="2"/>
      <c r="Z22" s="2"/>
      <c r="AA22" s="128"/>
      <c r="AB22" s="128"/>
      <c r="AC22" s="128"/>
      <c r="AD22" s="128"/>
      <c r="AE22" s="128"/>
      <c r="AF22" s="128"/>
      <c r="AG22" s="128"/>
      <c r="AH22" s="128"/>
      <c r="AI22" s="128"/>
      <c r="AJ22" s="128"/>
      <c r="AK22" s="128"/>
      <c r="AL22" s="128"/>
      <c r="AM22" s="128"/>
      <c r="AN22" s="128"/>
      <c r="AO22" s="2"/>
      <c r="AP22" s="2"/>
      <c r="AQ22" s="2"/>
      <c r="AR22" s="2"/>
      <c r="AS22" s="2"/>
      <c r="AT22" s="2"/>
      <c r="AU22" s="2"/>
      <c r="AV22" s="2"/>
      <c r="AW22" s="2"/>
      <c r="AX22" s="2"/>
      <c r="AY22" s="2"/>
      <c r="AZ22" s="2"/>
      <c r="BA22" s="2"/>
      <c r="BB22" s="2"/>
      <c r="BC22" s="2"/>
      <c r="BD22" s="2"/>
      <c r="BE22" s="2"/>
      <c r="BF22" s="2"/>
      <c r="BG22" s="2"/>
      <c r="BH22" s="2"/>
      <c r="BI22" s="2"/>
      <c r="BJ22" s="2"/>
      <c r="BK22" s="2"/>
    </row>
    <row r="23" spans="2:63" x14ac:dyDescent="0.55000000000000004">
      <c r="B23" s="141" t="s">
        <v>169</v>
      </c>
      <c r="C23" s="2"/>
      <c r="D23" s="2"/>
      <c r="E23" s="2"/>
      <c r="F23" s="101" t="s">
        <v>120</v>
      </c>
      <c r="N23" s="2"/>
      <c r="O23" s="2"/>
      <c r="P23" s="2"/>
      <c r="Q23" s="2"/>
      <c r="S23" s="2"/>
      <c r="T23" s="2"/>
      <c r="U23" s="2"/>
      <c r="V23" s="2"/>
      <c r="W23" s="2"/>
      <c r="X23" s="2"/>
      <c r="Y23" s="2"/>
      <c r="Z23" s="2"/>
      <c r="AA23" s="128"/>
      <c r="AB23" s="128"/>
      <c r="AC23" s="128"/>
      <c r="AD23" s="128"/>
      <c r="AE23" s="128"/>
      <c r="AF23" s="128"/>
      <c r="AG23" s="128"/>
      <c r="AH23" s="128"/>
      <c r="AI23" s="128"/>
      <c r="AJ23" s="128"/>
      <c r="AK23" s="128"/>
      <c r="AL23" s="128"/>
      <c r="AM23" s="128"/>
      <c r="AN23" s="128"/>
      <c r="AO23" s="2"/>
      <c r="AP23" s="2"/>
      <c r="AQ23" s="2"/>
      <c r="AR23" s="2"/>
      <c r="AS23" s="2"/>
      <c r="AT23" s="2"/>
      <c r="AU23" s="2"/>
      <c r="AV23" s="2"/>
      <c r="AW23" s="2"/>
      <c r="AX23" s="2"/>
      <c r="AY23" s="2"/>
      <c r="AZ23" s="2"/>
      <c r="BA23" s="2"/>
      <c r="BB23" s="2"/>
      <c r="BC23" s="2"/>
      <c r="BD23" s="2"/>
      <c r="BE23" s="2"/>
      <c r="BF23" s="2"/>
      <c r="BG23" s="2"/>
      <c r="BH23" s="2"/>
      <c r="BI23" s="2"/>
      <c r="BJ23" s="2"/>
      <c r="BK23" s="2"/>
    </row>
    <row r="24" spans="2:63" x14ac:dyDescent="0.55000000000000004">
      <c r="B24" s="141" t="s">
        <v>167</v>
      </c>
      <c r="F24" s="101" t="s">
        <v>120</v>
      </c>
      <c r="N24" s="2"/>
      <c r="O24" s="2"/>
      <c r="P24" s="2"/>
      <c r="Q24" s="2"/>
      <c r="S24" s="2"/>
      <c r="T24" s="2"/>
      <c r="U24" s="2"/>
      <c r="V24" s="2"/>
      <c r="W24" s="2"/>
      <c r="X24" s="2"/>
      <c r="Y24" s="2"/>
      <c r="Z24" s="2"/>
      <c r="AA24" s="128"/>
      <c r="AB24" s="128"/>
      <c r="AC24" s="128"/>
      <c r="AD24" s="128"/>
      <c r="AE24" s="128"/>
      <c r="AF24" s="128"/>
      <c r="AG24" s="128"/>
      <c r="AH24" s="128"/>
      <c r="AI24" s="128"/>
      <c r="AJ24" s="128"/>
      <c r="AK24" s="128"/>
      <c r="AL24" s="128"/>
      <c r="AM24" s="128"/>
      <c r="AN24" s="128"/>
      <c r="AO24" s="2"/>
      <c r="AP24" s="2"/>
      <c r="AQ24" s="2"/>
      <c r="AR24" s="2"/>
      <c r="AS24" s="2"/>
      <c r="AT24" s="2"/>
      <c r="AU24" s="2"/>
      <c r="AV24" s="2"/>
      <c r="AW24" s="2"/>
      <c r="AX24" s="2"/>
      <c r="AY24" s="2"/>
      <c r="AZ24" s="2"/>
      <c r="BA24" s="2"/>
      <c r="BB24" s="2"/>
      <c r="BC24" s="2"/>
      <c r="BD24" s="2"/>
      <c r="BE24" s="2"/>
      <c r="BF24" s="2"/>
      <c r="BG24" s="2"/>
      <c r="BH24" s="2"/>
      <c r="BI24" s="2"/>
      <c r="BJ24" s="2"/>
      <c r="BK24" s="2"/>
    </row>
    <row r="25" spans="2:63" x14ac:dyDescent="0.55000000000000004">
      <c r="B25" s="141" t="s">
        <v>119</v>
      </c>
      <c r="C25" s="2"/>
      <c r="D25" s="2"/>
      <c r="E25" s="2"/>
      <c r="F25" s="101" t="s">
        <v>120</v>
      </c>
      <c r="N25" s="2"/>
      <c r="O25" s="2"/>
      <c r="P25" s="2"/>
      <c r="Q25" s="2"/>
      <c r="S25" s="2"/>
      <c r="T25" s="2"/>
      <c r="U25" s="2"/>
      <c r="V25" s="2"/>
      <c r="W25" s="2"/>
      <c r="X25" s="2"/>
      <c r="Y25" s="2"/>
      <c r="Z25" s="2"/>
      <c r="AA25" s="128"/>
      <c r="AB25" s="128"/>
      <c r="AC25" s="128"/>
      <c r="AD25" s="128"/>
      <c r="AE25" s="128"/>
      <c r="AF25" s="128"/>
      <c r="AG25" s="128"/>
      <c r="AH25" s="128"/>
      <c r="AI25" s="128"/>
      <c r="AJ25" s="128"/>
      <c r="AK25" s="128"/>
      <c r="AL25" s="128"/>
      <c r="AM25" s="128"/>
      <c r="AN25" s="128"/>
      <c r="AO25" s="2"/>
      <c r="AP25" s="2"/>
      <c r="AQ25" s="2"/>
      <c r="AR25" s="2"/>
      <c r="AS25" s="2"/>
      <c r="AT25" s="2"/>
      <c r="AU25" s="2"/>
      <c r="AV25" s="2"/>
      <c r="AW25" s="2"/>
      <c r="AX25" s="2"/>
      <c r="AY25" s="2"/>
      <c r="AZ25" s="2"/>
      <c r="BA25" s="2"/>
      <c r="BB25" s="2"/>
      <c r="BC25" s="2"/>
      <c r="BD25" s="2"/>
      <c r="BE25" s="2"/>
      <c r="BF25" s="2"/>
      <c r="BG25" s="2"/>
      <c r="BH25" s="2"/>
      <c r="BI25" s="2"/>
      <c r="BJ25" s="2"/>
      <c r="BK25" s="2"/>
    </row>
    <row r="26" spans="2:63" x14ac:dyDescent="0.55000000000000004">
      <c r="B26" s="141" t="s">
        <v>453</v>
      </c>
      <c r="C26" s="2"/>
      <c r="D26" s="2"/>
      <c r="E26" s="2"/>
      <c r="F26" s="101" t="s">
        <v>124</v>
      </c>
      <c r="H26" s="106"/>
      <c r="N26" s="2"/>
      <c r="O26" s="2"/>
      <c r="P26" s="2"/>
      <c r="Q26" s="2"/>
      <c r="S26" s="2"/>
      <c r="T26" s="2"/>
      <c r="U26" s="2"/>
      <c r="V26" s="2"/>
      <c r="W26" s="2"/>
      <c r="X26" s="2"/>
      <c r="Y26" s="2"/>
      <c r="Z26" s="2"/>
      <c r="AA26" s="128"/>
      <c r="AB26" s="128"/>
      <c r="AC26" s="128"/>
      <c r="AD26" s="128"/>
      <c r="AE26" s="128"/>
      <c r="AF26" s="128"/>
      <c r="AG26" s="128"/>
      <c r="AH26" s="128"/>
      <c r="AI26" s="128"/>
      <c r="AJ26" s="128"/>
      <c r="AK26" s="128"/>
      <c r="AL26" s="128"/>
      <c r="AM26" s="128"/>
      <c r="AN26" s="128"/>
      <c r="AO26" s="2"/>
      <c r="AP26" s="2"/>
      <c r="AQ26" s="2"/>
      <c r="AR26" s="2"/>
      <c r="AS26" s="2"/>
      <c r="AT26" s="2"/>
      <c r="AU26" s="2"/>
      <c r="AV26" s="2"/>
      <c r="AW26" s="2"/>
      <c r="AX26" s="2"/>
      <c r="AY26" s="2"/>
      <c r="AZ26" s="2"/>
      <c r="BA26" s="2"/>
      <c r="BB26" s="2"/>
      <c r="BC26" s="2"/>
      <c r="BD26" s="2"/>
      <c r="BE26" s="2"/>
      <c r="BF26" s="2"/>
      <c r="BG26" s="2"/>
      <c r="BH26" s="2"/>
      <c r="BI26" s="2"/>
      <c r="BJ26" s="2"/>
      <c r="BK26" s="2"/>
    </row>
    <row r="27" spans="2:63" x14ac:dyDescent="0.55000000000000004">
      <c r="B27" s="141" t="s">
        <v>133</v>
      </c>
      <c r="C27" s="2"/>
      <c r="D27" s="2"/>
      <c r="E27" s="2"/>
      <c r="F27" s="101" t="s">
        <v>120</v>
      </c>
      <c r="H27" s="106"/>
      <c r="N27" s="2"/>
      <c r="O27" s="2"/>
      <c r="P27" s="2"/>
      <c r="Q27" s="2"/>
      <c r="S27" s="2"/>
      <c r="T27" s="2"/>
      <c r="U27" s="2"/>
      <c r="V27" s="2"/>
      <c r="W27" s="2"/>
      <c r="X27" s="2"/>
      <c r="Y27" s="2"/>
      <c r="Z27" s="2"/>
      <c r="AA27" s="128"/>
      <c r="AB27" s="128"/>
      <c r="AC27" s="128"/>
      <c r="AD27" s="128"/>
      <c r="AE27" s="128"/>
      <c r="AF27" s="128"/>
      <c r="AG27" s="128"/>
      <c r="AH27" s="128"/>
      <c r="AI27" s="128"/>
      <c r="AJ27" s="128"/>
      <c r="AK27" s="128"/>
      <c r="AL27" s="128"/>
      <c r="AM27" s="128"/>
      <c r="AN27" s="128"/>
      <c r="AO27" s="2"/>
      <c r="AP27" s="2"/>
      <c r="AQ27" s="2"/>
      <c r="AR27" s="2"/>
      <c r="AS27" s="2"/>
      <c r="AT27" s="2"/>
      <c r="AU27" s="2"/>
      <c r="AV27" s="2"/>
      <c r="AW27" s="2"/>
      <c r="AX27" s="2"/>
      <c r="AY27" s="2"/>
      <c r="AZ27" s="2"/>
      <c r="BA27" s="2"/>
      <c r="BB27" s="2"/>
      <c r="BC27" s="2"/>
      <c r="BD27" s="2"/>
      <c r="BE27" s="2"/>
      <c r="BF27" s="2"/>
      <c r="BG27" s="2"/>
      <c r="BH27" s="2"/>
      <c r="BI27" s="2"/>
      <c r="BJ27" s="2"/>
      <c r="BK27" s="2"/>
    </row>
    <row r="28" spans="2:63" x14ac:dyDescent="0.55000000000000004">
      <c r="B28" s="141" t="s">
        <v>135</v>
      </c>
      <c r="C28" s="2"/>
      <c r="D28" s="2"/>
      <c r="E28" s="2"/>
      <c r="F28" s="101" t="s">
        <v>124</v>
      </c>
      <c r="H28" s="106"/>
      <c r="N28" s="2"/>
      <c r="O28" s="2"/>
      <c r="P28" s="2"/>
      <c r="Q28" s="2"/>
      <c r="S28" s="2"/>
      <c r="T28" s="2"/>
      <c r="U28" s="2"/>
      <c r="V28" s="2"/>
      <c r="W28" s="2"/>
      <c r="X28" s="2"/>
      <c r="Y28" s="2"/>
      <c r="Z28" s="2"/>
      <c r="AA28" s="128"/>
      <c r="AB28" s="128"/>
      <c r="AC28" s="128"/>
      <c r="AD28" s="128"/>
      <c r="AE28" s="128"/>
      <c r="AF28" s="128"/>
      <c r="AG28" s="128"/>
      <c r="AH28" s="128"/>
      <c r="AI28" s="128"/>
      <c r="AJ28" s="128"/>
      <c r="AK28" s="128"/>
      <c r="AL28" s="128"/>
      <c r="AM28" s="128"/>
      <c r="AN28" s="128"/>
      <c r="AO28" s="2"/>
      <c r="AP28" s="2"/>
      <c r="AQ28" s="2"/>
      <c r="AR28" s="2"/>
      <c r="AS28" s="2"/>
      <c r="AT28" s="2"/>
      <c r="AU28" s="2"/>
      <c r="AV28" s="2"/>
      <c r="AW28" s="2"/>
      <c r="AX28" s="2"/>
      <c r="AY28" s="2"/>
      <c r="AZ28" s="2"/>
      <c r="BA28" s="2"/>
      <c r="BB28" s="2"/>
      <c r="BC28" s="2"/>
      <c r="BD28" s="2"/>
      <c r="BE28" s="2"/>
      <c r="BF28" s="2"/>
      <c r="BG28" s="2"/>
      <c r="BH28" s="2"/>
      <c r="BI28" s="2"/>
      <c r="BJ28" s="2"/>
      <c r="BK28" s="2"/>
    </row>
    <row r="29" spans="2:63" x14ac:dyDescent="0.55000000000000004">
      <c r="B29" s="141" t="s">
        <v>408</v>
      </c>
      <c r="C29" s="2"/>
      <c r="D29" s="2"/>
      <c r="E29" s="2"/>
      <c r="F29" s="131" t="s">
        <v>120</v>
      </c>
      <c r="H29" s="106"/>
      <c r="N29" s="2"/>
      <c r="O29" s="2"/>
      <c r="P29" s="2"/>
      <c r="Q29" s="2"/>
      <c r="S29" s="2"/>
      <c r="T29" s="2"/>
      <c r="U29" s="2"/>
      <c r="V29" s="2"/>
      <c r="W29" s="2"/>
      <c r="X29" s="2"/>
      <c r="Y29" s="2"/>
      <c r="Z29" s="2"/>
      <c r="AA29" s="128"/>
      <c r="AB29" s="128"/>
      <c r="AC29" s="128"/>
      <c r="AD29" s="128"/>
      <c r="AE29" s="128"/>
      <c r="AF29" s="128"/>
      <c r="AG29" s="128"/>
      <c r="AH29" s="128"/>
      <c r="AI29" s="128"/>
      <c r="AJ29" s="128"/>
      <c r="AK29" s="128"/>
      <c r="AL29" s="128"/>
      <c r="AM29" s="128"/>
      <c r="AN29" s="128"/>
      <c r="AO29" s="2"/>
      <c r="AP29" s="2"/>
      <c r="AQ29" s="2"/>
      <c r="AR29" s="2"/>
      <c r="AS29" s="2"/>
      <c r="AT29" s="2"/>
      <c r="AU29" s="2"/>
      <c r="AV29" s="2"/>
      <c r="AW29" s="2"/>
      <c r="AX29" s="2"/>
      <c r="AY29" s="2"/>
      <c r="AZ29" s="2"/>
      <c r="BA29" s="2"/>
      <c r="BB29" s="2"/>
      <c r="BC29" s="2"/>
      <c r="BD29" s="2"/>
      <c r="BE29" s="2"/>
      <c r="BF29" s="2"/>
      <c r="BG29" s="2"/>
      <c r="BH29" s="2"/>
      <c r="BI29" s="2"/>
      <c r="BJ29" s="2"/>
      <c r="BK29" s="2"/>
    </row>
    <row r="30" spans="2:63" x14ac:dyDescent="0.55000000000000004">
      <c r="H30" s="106"/>
      <c r="J30" s="2"/>
      <c r="K30" s="2"/>
      <c r="N30" s="2"/>
      <c r="O30" s="2"/>
      <c r="P30" s="2"/>
      <c r="Q30" s="2"/>
      <c r="S30" s="2"/>
      <c r="T30" s="2"/>
      <c r="U30" s="2"/>
      <c r="V30" s="2"/>
      <c r="W30" s="2"/>
      <c r="X30" s="2"/>
      <c r="Y30" s="2"/>
      <c r="Z30" s="2"/>
      <c r="AA30" s="22"/>
      <c r="AB30" s="2"/>
      <c r="AC30" s="2"/>
      <c r="AD30" s="2"/>
      <c r="AE30" s="2"/>
      <c r="AF30" s="2"/>
      <c r="AG30" s="21"/>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row>
    <row r="31" spans="2:63" x14ac:dyDescent="0.55000000000000004">
      <c r="H31" s="106"/>
      <c r="J31" s="2"/>
      <c r="K31" s="2"/>
      <c r="N31" s="2"/>
      <c r="O31" s="2"/>
      <c r="P31" s="2"/>
      <c r="Q31" s="2"/>
      <c r="S31" s="2"/>
      <c r="T31" s="2"/>
      <c r="U31" s="2"/>
      <c r="V31" s="2"/>
      <c r="W31" s="2"/>
      <c r="X31" s="2"/>
      <c r="Y31" s="2"/>
      <c r="Z31" s="2"/>
      <c r="AA31" s="22"/>
      <c r="AB31" s="2"/>
      <c r="AC31" s="2"/>
      <c r="AD31" s="2"/>
      <c r="AE31" s="2"/>
      <c r="AF31" s="2"/>
      <c r="AG31" s="21"/>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row>
    <row r="32" spans="2:63" x14ac:dyDescent="0.55000000000000004">
      <c r="H32" s="106"/>
      <c r="J32" s="2"/>
      <c r="K32" s="2"/>
      <c r="N32" s="2"/>
      <c r="O32" s="2"/>
      <c r="P32" s="2"/>
      <c r="Q32" s="2"/>
      <c r="S32" s="2"/>
      <c r="T32" s="2"/>
      <c r="U32" s="2"/>
      <c r="V32" s="2"/>
      <c r="W32" s="2"/>
      <c r="X32" s="2"/>
      <c r="Y32" s="2"/>
      <c r="Z32" s="2"/>
      <c r="AA32" s="22"/>
      <c r="AB32" s="2"/>
      <c r="AC32" s="2"/>
      <c r="AD32" s="2"/>
      <c r="AE32" s="2"/>
      <c r="AF32" s="2"/>
      <c r="AG32" s="21"/>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row>
    <row r="33" spans="1:63" x14ac:dyDescent="0.55000000000000004">
      <c r="H33" s="106"/>
      <c r="J33" s="2"/>
      <c r="K33" s="2"/>
      <c r="N33" s="2"/>
      <c r="O33" s="2"/>
      <c r="P33" s="2"/>
      <c r="Q33" s="2"/>
      <c r="S33" s="2"/>
      <c r="T33" s="2"/>
      <c r="U33" s="2"/>
      <c r="V33" s="2"/>
      <c r="W33" s="2"/>
      <c r="X33" s="2"/>
      <c r="Y33" s="2"/>
      <c r="Z33" s="2"/>
      <c r="AA33" s="22"/>
      <c r="AB33" s="2"/>
      <c r="AC33" s="2"/>
      <c r="AD33" s="2"/>
      <c r="AE33" s="2"/>
      <c r="AF33" s="2"/>
      <c r="AG33" s="21"/>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row>
    <row r="34" spans="1:63" ht="18.3" x14ac:dyDescent="0.55000000000000004">
      <c r="A34" s="2"/>
      <c r="B34" s="144" t="s">
        <v>171</v>
      </c>
      <c r="C34" s="108"/>
      <c r="D34" s="109"/>
      <c r="H34" s="106"/>
      <c r="J34" s="2"/>
      <c r="K34" s="2"/>
      <c r="N34" s="2"/>
      <c r="O34" s="2"/>
      <c r="P34" s="2"/>
      <c r="Q34" s="2"/>
      <c r="S34" s="2"/>
      <c r="T34" s="2"/>
      <c r="U34" s="2"/>
      <c r="V34" s="2"/>
      <c r="W34" s="2"/>
      <c r="X34" s="2"/>
      <c r="Y34" s="2"/>
      <c r="Z34" s="2"/>
      <c r="AA34" s="22"/>
      <c r="AB34" s="2"/>
      <c r="AC34" s="2"/>
      <c r="AD34" s="2"/>
      <c r="AE34" s="2"/>
      <c r="AF34" s="2"/>
      <c r="AG34" s="21"/>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row>
    <row r="35" spans="1:63" outlineLevel="1" x14ac:dyDescent="0.55000000000000004">
      <c r="D35" s="2"/>
      <c r="E35" s="2"/>
      <c r="F35" s="2"/>
      <c r="G35" s="2"/>
      <c r="H35" s="2"/>
      <c r="I35" s="2"/>
      <c r="J35" s="2"/>
      <c r="K35" s="2"/>
      <c r="L35" s="2"/>
      <c r="M35" s="2"/>
      <c r="N35" s="2"/>
      <c r="O35" s="2"/>
      <c r="P35" s="2"/>
      <c r="Q35" s="2"/>
      <c r="R35" s="2"/>
      <c r="S35" s="2"/>
      <c r="T35" s="2"/>
      <c r="U35" s="2"/>
      <c r="V35" s="2"/>
      <c r="W35" s="2"/>
      <c r="X35" s="45"/>
      <c r="Y35" s="46"/>
      <c r="Z35" s="2"/>
      <c r="AA35" s="2"/>
      <c r="AB35" s="2"/>
      <c r="AC35" s="2"/>
      <c r="AD35" s="2"/>
      <c r="AE35" s="2"/>
      <c r="AF35" s="2"/>
      <c r="AG35" s="21"/>
      <c r="AH35" s="2"/>
      <c r="AI35" s="2"/>
      <c r="AJ35" s="2"/>
      <c r="AK35" s="2"/>
      <c r="AL35" s="2"/>
    </row>
    <row r="36" spans="1:63" ht="19.899999999999999" customHeight="1" outlineLevel="1" x14ac:dyDescent="0.55000000000000004">
      <c r="B36" s="173" t="s">
        <v>68</v>
      </c>
      <c r="C36" s="173"/>
      <c r="D36" s="173"/>
      <c r="E36" s="2"/>
      <c r="F36" s="174" t="s">
        <v>129</v>
      </c>
      <c r="G36" s="174"/>
      <c r="H36" s="174"/>
      <c r="I36" s="2"/>
      <c r="J36" s="174" t="s">
        <v>70</v>
      </c>
      <c r="K36" s="174"/>
      <c r="L36" s="174"/>
      <c r="M36" s="174"/>
      <c r="N36" s="2"/>
      <c r="O36" s="174" t="s">
        <v>39</v>
      </c>
      <c r="P36" s="174"/>
      <c r="Q36" s="174"/>
      <c r="R36" s="174"/>
      <c r="S36" s="2"/>
      <c r="T36" s="170" t="s">
        <v>474</v>
      </c>
      <c r="U36" s="170"/>
      <c r="W36" s="171" t="s">
        <v>32</v>
      </c>
      <c r="X36" s="171"/>
      <c r="Y36" s="171"/>
      <c r="Z36" s="171"/>
      <c r="AA36" s="171"/>
      <c r="AB36" s="171"/>
      <c r="AC36" s="2"/>
      <c r="AD36" s="171" t="s">
        <v>33</v>
      </c>
      <c r="AE36" s="171"/>
      <c r="AF36" s="171"/>
      <c r="AG36" s="171"/>
      <c r="AH36" s="171"/>
      <c r="AI36" s="171"/>
      <c r="AJ36" s="21"/>
      <c r="AK36" s="171" t="s">
        <v>154</v>
      </c>
      <c r="AL36" s="171"/>
      <c r="AM36" s="19"/>
      <c r="AN36" s="171" t="s">
        <v>340</v>
      </c>
      <c r="AO36" s="171"/>
    </row>
    <row r="37" spans="1:63" ht="30.6" customHeight="1" outlineLevel="1" x14ac:dyDescent="0.55000000000000004">
      <c r="B37" s="146" t="s">
        <v>149</v>
      </c>
      <c r="C37" s="146" t="s">
        <v>10</v>
      </c>
      <c r="D37" s="78" t="s">
        <v>126</v>
      </c>
      <c r="E37" s="13"/>
      <c r="F37" s="82" t="s">
        <v>129</v>
      </c>
      <c r="G37" s="82" t="s">
        <v>158</v>
      </c>
      <c r="H37" s="86" t="s">
        <v>2</v>
      </c>
      <c r="I37" s="2"/>
      <c r="J37" s="88" t="s">
        <v>127</v>
      </c>
      <c r="K37" s="88" t="s">
        <v>37</v>
      </c>
      <c r="L37" s="48" t="s">
        <v>131</v>
      </c>
      <c r="M37" s="86" t="s">
        <v>2</v>
      </c>
      <c r="N37" s="13"/>
      <c r="O37" s="91" t="s">
        <v>128</v>
      </c>
      <c r="P37" s="91" t="s">
        <v>37</v>
      </c>
      <c r="Q37" s="92" t="s">
        <v>132</v>
      </c>
      <c r="R37" s="86" t="s">
        <v>2</v>
      </c>
      <c r="S37" s="55"/>
      <c r="T37" s="91" t="s">
        <v>159</v>
      </c>
      <c r="U37" s="91" t="s">
        <v>37</v>
      </c>
      <c r="W37" s="53" t="s">
        <v>12</v>
      </c>
      <c r="X37" s="53" t="s">
        <v>35</v>
      </c>
      <c r="Y37" s="53" t="s">
        <v>36</v>
      </c>
      <c r="Z37" s="53" t="s">
        <v>42</v>
      </c>
      <c r="AA37" s="56" t="s">
        <v>121</v>
      </c>
      <c r="AB37" s="53" t="s">
        <v>1</v>
      </c>
      <c r="AC37" s="55"/>
      <c r="AD37" s="53" t="s">
        <v>12</v>
      </c>
      <c r="AE37" s="53" t="s">
        <v>35</v>
      </c>
      <c r="AF37" s="53" t="s">
        <v>36</v>
      </c>
      <c r="AG37" s="56" t="s">
        <v>42</v>
      </c>
      <c r="AH37" s="56" t="s">
        <v>121</v>
      </c>
      <c r="AI37" s="53" t="s">
        <v>1</v>
      </c>
      <c r="AJ37" s="57"/>
      <c r="AK37" s="58" t="s">
        <v>3</v>
      </c>
      <c r="AL37" s="58" t="s">
        <v>0</v>
      </c>
      <c r="AM37" s="19"/>
      <c r="AN37" s="76" t="s">
        <v>46</v>
      </c>
      <c r="AO37" s="76" t="s">
        <v>150</v>
      </c>
      <c r="AP37" s="19"/>
      <c r="AQ37" s="19"/>
      <c r="AR37" s="19"/>
      <c r="AS37" s="19"/>
    </row>
    <row r="38" spans="1:63" s="19" customFormat="1" outlineLevel="1" x14ac:dyDescent="0.55000000000000004">
      <c r="B38" s="15" t="s">
        <v>176</v>
      </c>
      <c r="C38" s="15" t="s">
        <v>177</v>
      </c>
      <c r="D38" s="16" t="s">
        <v>178</v>
      </c>
      <c r="E38" s="20"/>
      <c r="F38" s="83" t="s">
        <v>179</v>
      </c>
      <c r="G38" s="83" t="s">
        <v>180</v>
      </c>
      <c r="H38" s="18" t="s">
        <v>181</v>
      </c>
      <c r="I38" s="23"/>
      <c r="J38" s="18" t="s">
        <v>182</v>
      </c>
      <c r="K38" s="18" t="s">
        <v>183</v>
      </c>
      <c r="L38" s="18" t="s">
        <v>187</v>
      </c>
      <c r="M38" s="17" t="s">
        <v>188</v>
      </c>
      <c r="N38" s="20"/>
      <c r="O38" s="17" t="s">
        <v>189</v>
      </c>
      <c r="P38" s="17" t="s">
        <v>190</v>
      </c>
      <c r="Q38" s="17" t="s">
        <v>191</v>
      </c>
      <c r="R38" s="143" t="s">
        <v>192</v>
      </c>
      <c r="S38" s="61"/>
      <c r="T38" s="17" t="s">
        <v>193</v>
      </c>
      <c r="U38" s="17" t="s">
        <v>194</v>
      </c>
      <c r="W38" s="60" t="s">
        <v>195</v>
      </c>
      <c r="X38" s="60" t="s">
        <v>196</v>
      </c>
      <c r="Y38" s="60" t="s">
        <v>197</v>
      </c>
      <c r="Z38" s="60" t="s">
        <v>198</v>
      </c>
      <c r="AA38" s="60" t="s">
        <v>199</v>
      </c>
      <c r="AB38" s="60" t="s">
        <v>200</v>
      </c>
      <c r="AC38" s="61"/>
      <c r="AD38" s="60" t="s">
        <v>201</v>
      </c>
      <c r="AE38" s="60" t="s">
        <v>202</v>
      </c>
      <c r="AF38" s="60" t="s">
        <v>203</v>
      </c>
      <c r="AG38" s="60" t="s">
        <v>204</v>
      </c>
      <c r="AH38" s="60" t="s">
        <v>205</v>
      </c>
      <c r="AI38" s="60" t="s">
        <v>206</v>
      </c>
      <c r="AJ38" s="62"/>
      <c r="AK38" s="60" t="s">
        <v>207</v>
      </c>
      <c r="AL38" s="60" t="s">
        <v>208</v>
      </c>
      <c r="AN38" s="60" t="s">
        <v>209</v>
      </c>
      <c r="AO38" s="60" t="s">
        <v>210</v>
      </c>
    </row>
    <row r="39" spans="1:63" outlineLevel="1" x14ac:dyDescent="0.55000000000000004">
      <c r="B39" s="1"/>
      <c r="C39" s="3">
        <v>0</v>
      </c>
      <c r="D39" s="87">
        <v>1</v>
      </c>
      <c r="E39" s="2"/>
      <c r="F39" s="84">
        <v>1</v>
      </c>
      <c r="G39" s="84"/>
      <c r="H39" s="5"/>
      <c r="I39" s="2"/>
      <c r="J39" s="2"/>
      <c r="K39" s="2"/>
      <c r="L39" s="55"/>
      <c r="M39" s="55"/>
      <c r="N39" s="2"/>
      <c r="O39" s="10"/>
      <c r="P39" s="10"/>
      <c r="Q39" s="49"/>
      <c r="R39" s="55"/>
      <c r="S39" s="55"/>
      <c r="T39" s="2"/>
      <c r="U39" s="2"/>
      <c r="W39" s="63">
        <f>IFERROR(IF(C39&gt;=$F$7*4,0,-IF($F$22="pattern",U40*$F$21,IF(AND($F$22="single",C39=0),$F$21,IF(AND($F$22="annual",MOD(C39,4)=0),$F$21/$F$7,IF(AND($F$22="semi-ann",MOD(C39,2)=0),$F$21/(2*$F$7),IF($F$22="quarterly",$F$21/(4*$F$7),0)))))*F39),0)</f>
        <v>-750000</v>
      </c>
      <c r="X39" s="63"/>
      <c r="Y39" s="63"/>
      <c r="Z39" s="63">
        <f>-$F$13*$F$21</f>
        <v>-900000</v>
      </c>
      <c r="AA39" s="63"/>
      <c r="AB39" s="64">
        <f>SUM(W39:AA39)</f>
        <v>-1650000</v>
      </c>
      <c r="AC39" s="55"/>
      <c r="AD39" s="64">
        <f t="shared" ref="AD39:AD51" si="0">W39*$D39</f>
        <v>-750000</v>
      </c>
      <c r="AE39" s="64"/>
      <c r="AF39" s="64"/>
      <c r="AG39" s="64">
        <f t="shared" ref="AG39:AG51" si="1">Z39*$D39</f>
        <v>-900000</v>
      </c>
      <c r="AH39" s="64"/>
      <c r="AI39" s="64">
        <f>SUM(AD39:AH39)</f>
        <v>-1650000</v>
      </c>
      <c r="AJ39" s="57"/>
      <c r="AK39" s="51">
        <f ca="1">SUM(AD39:AD$51,AG39:AG$51)/D39+SUM(AE40:AF$52,AH40:AH$51)/D39</f>
        <v>-3286061.7878598114</v>
      </c>
      <c r="AL39" s="51">
        <f>SUM(AE40:$AF$52)*$F$14/D39</f>
        <v>210033.16964305146</v>
      </c>
      <c r="AM39" s="19"/>
      <c r="AN39" s="51">
        <f ca="1">-SUM(AD39:$AD$52,AH39:$AH$52)/D39</f>
        <v>6586725.1807208406</v>
      </c>
      <c r="AO39" s="51">
        <f ca="1">-SUM(W39:$W$52,AA39:$AA$52)</f>
        <v>6745500.4336826438</v>
      </c>
      <c r="AP39" s="19"/>
      <c r="AQ39" s="19"/>
      <c r="AR39" s="19"/>
      <c r="AS39" s="19"/>
    </row>
    <row r="40" spans="1:63" outlineLevel="1" x14ac:dyDescent="0.55000000000000004">
      <c r="A40" s="9"/>
      <c r="B40" s="1" t="s">
        <v>6</v>
      </c>
      <c r="C40" s="3">
        <v>1</v>
      </c>
      <c r="D40" s="87">
        <f t="shared" ref="D40:D51" si="2">D39/(1+$F$17)^(1/4)</f>
        <v>0.99506157747984325</v>
      </c>
      <c r="E40" s="4"/>
      <c r="F40" s="84">
        <f t="shared" ref="F40:F51" si="3">(1-$F$19)^(C40/4)</f>
        <v>0.94574160900317583</v>
      </c>
      <c r="G40" s="84">
        <f>AVERAGE(F39:F40)</f>
        <v>0.97287080450158792</v>
      </c>
      <c r="H40" s="84">
        <f>F40*D40</f>
        <v>0.94107113734302528</v>
      </c>
      <c r="I40" s="4"/>
      <c r="J40" s="98">
        <v>1</v>
      </c>
      <c r="K40" s="94">
        <f t="shared" ref="K40:K51" si="4">J40/$J$54</f>
        <v>8.3333333333333329E-2</v>
      </c>
      <c r="L40" s="47">
        <f>J40*G40</f>
        <v>0.97287080450158792</v>
      </c>
      <c r="M40" s="47">
        <f>L40*D40</f>
        <v>0.96806635741143421</v>
      </c>
      <c r="N40" s="4"/>
      <c r="O40" s="98">
        <v>1</v>
      </c>
      <c r="P40" s="94">
        <f t="shared" ref="P40:P51" si="5">O40/$O$54</f>
        <v>1.282051282051282E-2</v>
      </c>
      <c r="Q40" s="47">
        <f>O40*G40</f>
        <v>0.97287080450158792</v>
      </c>
      <c r="R40" s="47">
        <f>Q40*D40</f>
        <v>0.96806635741143421</v>
      </c>
      <c r="T40" s="138">
        <v>0.20282873599525819</v>
      </c>
      <c r="U40" s="136">
        <f>T40/$T$54</f>
        <v>0.20282873599525819</v>
      </c>
      <c r="W40" s="63">
        <f t="shared" ref="W40:W51" si="6">IFERROR(IF(C40&gt;=$F$7*4,0,-IF($F$22="pattern",U41*$F$21,IF(AND($F$22="single",C40=0),$F$21,IF(AND($F$22="annual",MOD(C40,4)=0),$F$21/$F$7,IF(AND($F$22="semi-ann",MOD(C40,2)=0),$F$21/(2*$F$7),IF($F$22="quarterly",$F$21/(4*$F$7),0)))))*F40),0)</f>
        <v>-709306.20675238187</v>
      </c>
      <c r="X40" s="63">
        <f t="shared" ref="X40:X51" si="7">$F$21*$F$11*P40*((1+$F$18)^(C40/4))*F40</f>
        <v>65637.494866067049</v>
      </c>
      <c r="Y40" s="63">
        <f t="shared" ref="Y40:Y51" si="8">$F$21*$F$12*IF($F$28="risk",P40*F40,IF($F$28="policies IF",F40/($F$7*4),1/($F$7*4)))</f>
        <v>16368.604771208811</v>
      </c>
      <c r="Z40" s="63">
        <v>0</v>
      </c>
      <c r="AA40" s="63">
        <f t="shared" ref="AA40:AA51" ca="1" si="9">IF($F$25="no",0,1)*(F40-F39)*OFFSET(W40,-IF($F$22="single",C40,IF($F$22="annual",MOD(C40,4),IF($F$22="semi-ann",MOD(C40,2),0))),0)*IF($F$22="single",($F$7*4-C40)/($F$7*4),IF(AND($F$22="annual",MOD(C40,4)&lt;&gt;0),(4-MOD(C40,4))/4,IF(AND($F$22="semi-ann",MOD(C40,2)&lt;&gt;0),0.5,0)))</f>
        <v>0</v>
      </c>
      <c r="AB40" s="64">
        <f t="shared" ref="AB40:AB51" ca="1" si="10">SUM(W40:AA40)</f>
        <v>-627300.10711510596</v>
      </c>
      <c r="AC40" s="51"/>
      <c r="AD40" s="51">
        <f t="shared" si="0"/>
        <v>-705803.35300726898</v>
      </c>
      <c r="AE40" s="64">
        <f t="shared" ref="AE40:AE51" si="11">X40*$D40</f>
        <v>65313.349183253791</v>
      </c>
      <c r="AF40" s="64">
        <f t="shared" ref="AF40:AF51" si="12">Y40*$D40</f>
        <v>16287.769684783128</v>
      </c>
      <c r="AG40" s="51">
        <f t="shared" si="1"/>
        <v>0</v>
      </c>
      <c r="AH40" s="64">
        <f t="shared" ref="AH40:AH51" ca="1" si="13">AA40*$D40</f>
        <v>0</v>
      </c>
      <c r="AI40" s="64">
        <f t="shared" ref="AI40:AI51" ca="1" si="14">SUM(AD40:AH40)</f>
        <v>-624202.23413923196</v>
      </c>
      <c r="AJ40" s="11"/>
      <c r="AK40" s="51">
        <f ca="1">SUM(AD40:AD$51,AG40:AG$51)/D40+SUM(AE41:AF$52,AH41:AH$51)/D40</f>
        <v>-1726187.5501997671</v>
      </c>
      <c r="AL40" s="51">
        <f>SUM(AE41:$AF$52)*$F$14/D40</f>
        <v>206975.24491022926</v>
      </c>
      <c r="AM40" s="19"/>
      <c r="AN40" s="51">
        <f ca="1">-SUM(AD40:$AD$52,AH40:$AH$52)/D40</f>
        <v>5865692.4484043522</v>
      </c>
      <c r="AO40" s="51">
        <f ca="1">-SUM(W40:$W$52,AA40:$AA$52)</f>
        <v>5995500.4336826438</v>
      </c>
      <c r="AP40" s="19"/>
      <c r="AQ40" s="127"/>
      <c r="AR40" s="19"/>
      <c r="AS40" s="19"/>
    </row>
    <row r="41" spans="1:63" outlineLevel="1" x14ac:dyDescent="0.55000000000000004">
      <c r="A41" s="9"/>
      <c r="B41" s="1" t="s">
        <v>7</v>
      </c>
      <c r="C41" s="3">
        <v>2</v>
      </c>
      <c r="D41" s="87">
        <f t="shared" si="2"/>
        <v>0.99014754297667418</v>
      </c>
      <c r="E41" s="4"/>
      <c r="F41" s="84">
        <f t="shared" si="3"/>
        <v>0.89442719099991586</v>
      </c>
      <c r="G41" s="84">
        <f t="shared" ref="G41:G51" si="15">AVERAGE(F40:F41)</f>
        <v>0.92008440000154579</v>
      </c>
      <c r="H41" s="84">
        <f t="shared" ref="H41:H51" si="16">F41*D41</f>
        <v>0.88561488554009515</v>
      </c>
      <c r="I41" s="4"/>
      <c r="J41" s="98">
        <v>1</v>
      </c>
      <c r="K41" s="94">
        <f t="shared" si="4"/>
        <v>8.3333333333333329E-2</v>
      </c>
      <c r="L41" s="47">
        <f t="shared" ref="L41:L51" si="17">J41*G41</f>
        <v>0.92008440000154579</v>
      </c>
      <c r="M41" s="47">
        <f t="shared" ref="M41:M51" si="18">L41*D41</f>
        <v>0.91101930799269804</v>
      </c>
      <c r="N41" s="4"/>
      <c r="O41" s="98">
        <v>2</v>
      </c>
      <c r="P41" s="94">
        <f t="shared" si="5"/>
        <v>2.564102564102564E-2</v>
      </c>
      <c r="Q41" s="47">
        <f t="shared" ref="Q41:Q51" si="19">O41*G41</f>
        <v>1.8401688000030916</v>
      </c>
      <c r="R41" s="47">
        <f t="shared" ref="R41:R51" si="20">Q41*D41</f>
        <v>1.8220386159853961</v>
      </c>
      <c r="S41" s="51"/>
      <c r="T41" s="138">
        <v>0.17818906429460918</v>
      </c>
      <c r="U41" s="136">
        <f t="shared" ref="U41:U51" si="21">T41/$T$54</f>
        <v>0.17818906429460918</v>
      </c>
      <c r="W41" s="63">
        <f t="shared" si="6"/>
        <v>-670820.39324993687</v>
      </c>
      <c r="X41" s="63">
        <f t="shared" si="7"/>
        <v>124461.44337735267</v>
      </c>
      <c r="Y41" s="63">
        <f t="shared" si="8"/>
        <v>30960.94122692016</v>
      </c>
      <c r="Z41" s="63">
        <v>0</v>
      </c>
      <c r="AA41" s="63">
        <f t="shared" ca="1" si="9"/>
        <v>0</v>
      </c>
      <c r="AB41" s="64">
        <f t="shared" ca="1" si="10"/>
        <v>-515398.00864566403</v>
      </c>
      <c r="AC41" s="51"/>
      <c r="AD41" s="51">
        <f t="shared" si="0"/>
        <v>-664211.16415507137</v>
      </c>
      <c r="AE41" s="64">
        <f t="shared" si="11"/>
        <v>123235.19235541621</v>
      </c>
      <c r="AF41" s="64">
        <f t="shared" si="12"/>
        <v>30655.899884080212</v>
      </c>
      <c r="AG41" s="51">
        <f t="shared" si="1"/>
        <v>0</v>
      </c>
      <c r="AH41" s="64">
        <f t="shared" ca="1" si="13"/>
        <v>0</v>
      </c>
      <c r="AI41" s="64">
        <f t="shared" ca="1" si="14"/>
        <v>-510320.0719155749</v>
      </c>
      <c r="AJ41" s="57"/>
      <c r="AK41" s="51">
        <f ca="1">SUM(AD41:AD$51,AG41:AG$51)/D41+SUM(AE42:AF$52,AH42:AH$51)/D41</f>
        <v>-1177350.4405772565</v>
      </c>
      <c r="AL41" s="51">
        <f>SUM(AE42:$AF$52)*$F$14/D41</f>
        <v>200231.32965785215</v>
      </c>
      <c r="AM41" s="19"/>
      <c r="AN41" s="51">
        <f ca="1">-SUM(AD41:$AD$52,AH41:$AH$52)/D41</f>
        <v>5181977.0337342992</v>
      </c>
      <c r="AO41" s="51">
        <f ca="1">-SUM(W41:$W$52,AA41:$AA$52)</f>
        <v>5286194.2269302625</v>
      </c>
      <c r="AP41" s="19"/>
      <c r="AQ41" s="127"/>
      <c r="AR41" s="19"/>
      <c r="AS41" s="19"/>
    </row>
    <row r="42" spans="1:63" outlineLevel="1" x14ac:dyDescent="0.55000000000000004">
      <c r="A42" s="9"/>
      <c r="B42" s="1" t="s">
        <v>8</v>
      </c>
      <c r="C42" s="3">
        <v>3</v>
      </c>
      <c r="D42" s="87">
        <f t="shared" si="2"/>
        <v>0.98525777605216036</v>
      </c>
      <c r="E42" s="4"/>
      <c r="F42" s="84">
        <f>(1-$F$19)^(C42/4)</f>
        <v>0.84589701075245127</v>
      </c>
      <c r="G42" s="84">
        <f t="shared" si="15"/>
        <v>0.87016210087618351</v>
      </c>
      <c r="H42" s="84">
        <f t="shared" si="16"/>
        <v>0.83342660758313047</v>
      </c>
      <c r="I42" s="4"/>
      <c r="J42" s="98">
        <v>1</v>
      </c>
      <c r="K42" s="94">
        <f t="shared" si="4"/>
        <v>8.3333333333333329E-2</v>
      </c>
      <c r="L42" s="47">
        <f t="shared" si="17"/>
        <v>0.87016210087618351</v>
      </c>
      <c r="M42" s="47">
        <f t="shared" si="18"/>
        <v>0.85733397631414421</v>
      </c>
      <c r="N42" s="4"/>
      <c r="O42" s="98">
        <v>3</v>
      </c>
      <c r="P42" s="94">
        <f t="shared" si="5"/>
        <v>3.8461538461538464E-2</v>
      </c>
      <c r="Q42" s="47">
        <f t="shared" si="19"/>
        <v>2.6104863026285505</v>
      </c>
      <c r="R42" s="47">
        <f t="shared" si="20"/>
        <v>2.5720019289424325</v>
      </c>
      <c r="S42" s="51"/>
      <c r="T42" s="138">
        <v>0.20194032380116383</v>
      </c>
      <c r="U42" s="136">
        <f t="shared" si="21"/>
        <v>0.20194032380116383</v>
      </c>
      <c r="W42" s="63">
        <f t="shared" si="6"/>
        <v>-634422.75806433847</v>
      </c>
      <c r="X42" s="63">
        <f t="shared" si="7"/>
        <v>177002.30926525939</v>
      </c>
      <c r="Y42" s="63">
        <f t="shared" si="8"/>
        <v>43921.575558300363</v>
      </c>
      <c r="Z42" s="63">
        <v>0</v>
      </c>
      <c r="AA42" s="63">
        <f t="shared" ca="1" si="9"/>
        <v>0</v>
      </c>
      <c r="AB42" s="64">
        <f t="shared" ca="1" si="10"/>
        <v>-413498.87324077869</v>
      </c>
      <c r="AC42" s="51"/>
      <c r="AD42" s="51">
        <f t="shared" si="0"/>
        <v>-625069.95568734792</v>
      </c>
      <c r="AE42" s="64">
        <f t="shared" si="11"/>
        <v>174392.90158278617</v>
      </c>
      <c r="AF42" s="64">
        <f t="shared" si="12"/>
        <v>43274.073855277937</v>
      </c>
      <c r="AG42" s="51">
        <f t="shared" si="1"/>
        <v>0</v>
      </c>
      <c r="AH42" s="64">
        <f t="shared" ca="1" si="13"/>
        <v>0</v>
      </c>
      <c r="AI42" s="64">
        <f t="shared" ca="1" si="14"/>
        <v>-407402.98024928384</v>
      </c>
      <c r="AJ42" s="57"/>
      <c r="AK42" s="51">
        <f ca="1">SUM(AD42:AD$51,AG42:AG$51)/D42+SUM(AE43:AF$52,AH43:AH$51)/D42</f>
        <v>-729967.80611553462</v>
      </c>
      <c r="AL42" s="51">
        <f>SUM(AE43:$AF$52)*$F$14/D42</f>
        <v>190178.8698045777</v>
      </c>
      <c r="AM42" s="19"/>
      <c r="AN42" s="51">
        <f ca="1">-SUM(AD42:$AD$52,AH42:$AH$52)/D42</f>
        <v>4533545.2022070885</v>
      </c>
      <c r="AO42" s="51">
        <f ca="1">-SUM(W42:$W$52,AA42:$AA$52)</f>
        <v>4615373.8336803252</v>
      </c>
      <c r="AP42" s="19"/>
      <c r="AQ42" s="127"/>
      <c r="AR42" s="19"/>
      <c r="AS42" s="19"/>
    </row>
    <row r="43" spans="1:63" outlineLevel="1" x14ac:dyDescent="0.55000000000000004">
      <c r="A43" s="9"/>
      <c r="B43" s="1" t="s">
        <v>9</v>
      </c>
      <c r="C43" s="3">
        <v>4</v>
      </c>
      <c r="D43" s="87">
        <f t="shared" si="2"/>
        <v>0.98039215686274483</v>
      </c>
      <c r="E43" s="4"/>
      <c r="F43" s="84">
        <f t="shared" si="3"/>
        <v>0.8</v>
      </c>
      <c r="G43" s="84">
        <f t="shared" si="15"/>
        <v>0.82294850537622566</v>
      </c>
      <c r="H43" s="84">
        <f t="shared" si="16"/>
        <v>0.78431372549019596</v>
      </c>
      <c r="I43" s="4"/>
      <c r="J43" s="98">
        <v>1</v>
      </c>
      <c r="K43" s="94">
        <f t="shared" si="4"/>
        <v>8.3333333333333329E-2</v>
      </c>
      <c r="L43" s="47">
        <f t="shared" si="17"/>
        <v>0.82294850537622566</v>
      </c>
      <c r="M43" s="47">
        <f t="shared" si="18"/>
        <v>0.80681226017277008</v>
      </c>
      <c r="N43" s="4"/>
      <c r="O43" s="98">
        <v>4</v>
      </c>
      <c r="P43" s="94">
        <f t="shared" si="5"/>
        <v>5.128205128205128E-2</v>
      </c>
      <c r="Q43" s="47">
        <f t="shared" si="19"/>
        <v>3.2917940215049026</v>
      </c>
      <c r="R43" s="47">
        <f t="shared" si="20"/>
        <v>3.2272490406910803</v>
      </c>
      <c r="S43" s="51"/>
      <c r="T43" s="138">
        <v>0.20709640104961757</v>
      </c>
      <c r="U43" s="136">
        <f t="shared" si="21"/>
        <v>0.20709640104961757</v>
      </c>
      <c r="W43" s="63">
        <f t="shared" si="6"/>
        <v>-600000</v>
      </c>
      <c r="X43" s="63">
        <f t="shared" si="7"/>
        <v>223753.84615384616</v>
      </c>
      <c r="Y43" s="63">
        <f t="shared" si="8"/>
        <v>55384.615384615383</v>
      </c>
      <c r="Z43" s="63">
        <v>0</v>
      </c>
      <c r="AA43" s="63">
        <f t="shared" ca="1" si="9"/>
        <v>0</v>
      </c>
      <c r="AB43" s="64">
        <f t="shared" ca="1" si="10"/>
        <v>-320861.5384615385</v>
      </c>
      <c r="AC43" s="51"/>
      <c r="AD43" s="51">
        <f t="shared" si="0"/>
        <v>-588235.29411764687</v>
      </c>
      <c r="AE43" s="64">
        <f t="shared" si="11"/>
        <v>219366.515837104</v>
      </c>
      <c r="AF43" s="64">
        <f t="shared" si="12"/>
        <v>54298.642533936632</v>
      </c>
      <c r="AG43" s="51">
        <f t="shared" si="1"/>
        <v>0</v>
      </c>
      <c r="AH43" s="64">
        <f t="shared" ca="1" si="13"/>
        <v>0</v>
      </c>
      <c r="AI43" s="64">
        <f t="shared" ca="1" si="14"/>
        <v>-314570.13574660622</v>
      </c>
      <c r="AJ43" s="57"/>
      <c r="AK43" s="51">
        <f ca="1">SUM(AD43:AD$51,AG43:AG$51)/D43+SUM(AE44:AF$52,AH44:AH$51)/D43</f>
        <v>-375157.69312529545</v>
      </c>
      <c r="AL43" s="51">
        <f>SUM(AE44:$AF$52)*$F$14/D43</f>
        <v>177165.79144516398</v>
      </c>
      <c r="AM43" s="19"/>
      <c r="AN43" s="51">
        <f ca="1">-SUM(AD43:$AD$52,AH43:$AH$52)/D43</f>
        <v>3918473.5220285747</v>
      </c>
      <c r="AO43" s="51">
        <f ca="1">-SUM(W43:$W$52,AA43:$AA$52)</f>
        <v>3980951.0756159863</v>
      </c>
      <c r="AP43" s="19"/>
      <c r="AQ43" s="127"/>
      <c r="AR43" s="19"/>
      <c r="AS43" s="19"/>
    </row>
    <row r="44" spans="1:63" outlineLevel="1" x14ac:dyDescent="0.55000000000000004">
      <c r="A44" s="9"/>
      <c r="B44" s="1" t="s">
        <v>16</v>
      </c>
      <c r="C44" s="3">
        <v>5</v>
      </c>
      <c r="D44" s="87">
        <f t="shared" si="2"/>
        <v>0.97555056615670888</v>
      </c>
      <c r="E44" s="4"/>
      <c r="F44" s="84">
        <f t="shared" si="3"/>
        <v>0.75659328720254071</v>
      </c>
      <c r="G44" s="84">
        <f t="shared" si="15"/>
        <v>0.77829664360127038</v>
      </c>
      <c r="H44" s="84">
        <f t="shared" si="16"/>
        <v>0.73809500968080399</v>
      </c>
      <c r="I44" s="4"/>
      <c r="J44" s="98">
        <v>1</v>
      </c>
      <c r="K44" s="94">
        <f t="shared" si="4"/>
        <v>8.3333333333333329E-2</v>
      </c>
      <c r="L44" s="47">
        <f t="shared" si="17"/>
        <v>0.77829664360127038</v>
      </c>
      <c r="M44" s="47">
        <f t="shared" si="18"/>
        <v>0.75926773130308556</v>
      </c>
      <c r="N44" s="4"/>
      <c r="O44" s="98">
        <v>5</v>
      </c>
      <c r="P44" s="94">
        <f t="shared" si="5"/>
        <v>6.4102564102564097E-2</v>
      </c>
      <c r="Q44" s="47">
        <f t="shared" si="19"/>
        <v>3.8914832180063517</v>
      </c>
      <c r="R44" s="47">
        <f t="shared" si="20"/>
        <v>3.7963386565154278</v>
      </c>
      <c r="S44" s="51"/>
      <c r="T44" s="138">
        <v>8.3175297485096111E-2</v>
      </c>
      <c r="U44" s="136">
        <f t="shared" si="21"/>
        <v>8.3175297485096111E-2</v>
      </c>
      <c r="W44" s="63">
        <f t="shared" si="6"/>
        <v>-567444.96540190559</v>
      </c>
      <c r="X44" s="63">
        <f t="shared" si="7"/>
        <v>265175.47925891087</v>
      </c>
      <c r="Y44" s="63">
        <f t="shared" si="8"/>
        <v>65474.419084835245</v>
      </c>
      <c r="Z44" s="63">
        <v>0</v>
      </c>
      <c r="AA44" s="63">
        <f t="shared" ca="1" si="9"/>
        <v>0</v>
      </c>
      <c r="AB44" s="64">
        <f t="shared" ca="1" si="10"/>
        <v>-236795.06705815947</v>
      </c>
      <c r="AC44" s="51"/>
      <c r="AD44" s="51">
        <f t="shared" si="0"/>
        <v>-553571.25726060313</v>
      </c>
      <c r="AE44" s="64">
        <f t="shared" si="11"/>
        <v>258692.0889219071</v>
      </c>
      <c r="AF44" s="64">
        <f t="shared" si="12"/>
        <v>63873.606606992646</v>
      </c>
      <c r="AG44" s="51">
        <f t="shared" si="1"/>
        <v>0</v>
      </c>
      <c r="AH44" s="64">
        <f t="shared" ca="1" si="13"/>
        <v>0</v>
      </c>
      <c r="AI44" s="64">
        <f t="shared" ca="1" si="14"/>
        <v>-231005.56173170335</v>
      </c>
      <c r="AJ44" s="57"/>
      <c r="AK44" s="51">
        <f ca="1">SUM(AD44:AD$51,AG44:AG$51)/D44+SUM(AE45:AF$52,AH45:AH$51)/D44</f>
        <v>-104691.71448526159</v>
      </c>
      <c r="AL44" s="51">
        <f>SUM(AE45:$AF$52)*$F$14/D44</f>
        <v>161512.5582280315</v>
      </c>
      <c r="AM44" s="19"/>
      <c r="AN44" s="51">
        <f ca="1">-SUM(AD44:$AD$52,AH44:$AH$52)/D44</f>
        <v>3334942.8790458911</v>
      </c>
      <c r="AO44" s="51">
        <f ca="1">-SUM(W44:$W$52,AA44:$AA$52)</f>
        <v>3380951.0756159863</v>
      </c>
      <c r="AP44" s="19"/>
      <c r="AQ44" s="127"/>
      <c r="AR44" s="19"/>
      <c r="AS44" s="19"/>
    </row>
    <row r="45" spans="1:63" outlineLevel="1" x14ac:dyDescent="0.55000000000000004">
      <c r="A45" s="9"/>
      <c r="B45" s="1" t="s">
        <v>17</v>
      </c>
      <c r="C45" s="3">
        <v>6</v>
      </c>
      <c r="D45" s="87">
        <f t="shared" si="2"/>
        <v>0.9707328852712489</v>
      </c>
      <c r="E45" s="4"/>
      <c r="F45" s="84">
        <f t="shared" si="3"/>
        <v>0.71554175279993271</v>
      </c>
      <c r="G45" s="84">
        <f t="shared" si="15"/>
        <v>0.73606752000123676</v>
      </c>
      <c r="H45" s="84">
        <f t="shared" si="16"/>
        <v>0.69459991022752543</v>
      </c>
      <c r="I45" s="4"/>
      <c r="J45" s="98">
        <v>1</v>
      </c>
      <c r="K45" s="94">
        <f t="shared" si="4"/>
        <v>8.3333333333333329E-2</v>
      </c>
      <c r="L45" s="47">
        <f t="shared" si="17"/>
        <v>0.73606752000123676</v>
      </c>
      <c r="M45" s="47">
        <f t="shared" si="18"/>
        <v>0.7145249474452533</v>
      </c>
      <c r="N45" s="4"/>
      <c r="O45" s="98">
        <v>6</v>
      </c>
      <c r="P45" s="94">
        <f t="shared" si="5"/>
        <v>7.6923076923076927E-2</v>
      </c>
      <c r="Q45" s="47">
        <f t="shared" si="19"/>
        <v>4.4164051200074201</v>
      </c>
      <c r="R45" s="47">
        <f t="shared" si="20"/>
        <v>4.2871496846715189</v>
      </c>
      <c r="S45" s="51"/>
      <c r="T45" s="138">
        <v>5.1890782453176132E-2</v>
      </c>
      <c r="U45" s="136">
        <f t="shared" si="21"/>
        <v>5.1890782453176132E-2</v>
      </c>
      <c r="W45" s="63">
        <f t="shared" si="6"/>
        <v>-536656.31459994952</v>
      </c>
      <c r="X45" s="63">
        <f t="shared" si="7"/>
        <v>301694.53874670289</v>
      </c>
      <c r="Y45" s="63">
        <f t="shared" si="8"/>
        <v>74306.258944608402</v>
      </c>
      <c r="Z45" s="63">
        <v>0</v>
      </c>
      <c r="AA45" s="63">
        <f t="shared" ca="1" si="9"/>
        <v>0</v>
      </c>
      <c r="AB45" s="64">
        <f t="shared" ca="1" si="10"/>
        <v>-160655.51690863824</v>
      </c>
      <c r="AC45" s="51"/>
      <c r="AD45" s="51">
        <f t="shared" si="0"/>
        <v>-520949.93267064408</v>
      </c>
      <c r="AE45" s="64">
        <f t="shared" si="11"/>
        <v>292864.81006816548</v>
      </c>
      <c r="AF45" s="64">
        <f t="shared" si="12"/>
        <v>72131.529139012258</v>
      </c>
      <c r="AG45" s="51">
        <f t="shared" si="1"/>
        <v>0</v>
      </c>
      <c r="AH45" s="64">
        <f t="shared" ca="1" si="13"/>
        <v>0</v>
      </c>
      <c r="AI45" s="64">
        <f t="shared" ca="1" si="14"/>
        <v>-155953.59346346633</v>
      </c>
      <c r="AJ45" s="57"/>
      <c r="AK45" s="51">
        <f ca="1">SUM(AD45:AD$51,AG45:AG$51)/D45+SUM(AE46:AF$52,AH46:AH$51)/D45</f>
        <v>89049.065944910049</v>
      </c>
      <c r="AL45" s="51">
        <f>SUM(AE46:$AF$52)*$F$14/D45</f>
        <v>143514.09411816479</v>
      </c>
      <c r="AM45" s="19"/>
      <c r="AN45" s="51">
        <f ca="1">-SUM(AD45:$AD$52,AH45:$AH$52)/D45</f>
        <v>2781232.8164183856</v>
      </c>
      <c r="AO45" s="51">
        <f ca="1">-SUM(W45:$W$52,AA45:$AA$52)</f>
        <v>2813506.1102140811</v>
      </c>
      <c r="AP45" s="19"/>
      <c r="AQ45" s="19"/>
      <c r="AR45" s="19"/>
      <c r="AS45" s="19"/>
    </row>
    <row r="46" spans="1:63" outlineLevel="1" x14ac:dyDescent="0.55000000000000004">
      <c r="A46" s="9"/>
      <c r="B46" s="1" t="s">
        <v>18</v>
      </c>
      <c r="C46" s="3">
        <v>7</v>
      </c>
      <c r="D46" s="87">
        <f t="shared" si="2"/>
        <v>0.96593899612956868</v>
      </c>
      <c r="E46" s="4"/>
      <c r="F46" s="84">
        <f t="shared" si="3"/>
        <v>0.67671760860196106</v>
      </c>
      <c r="G46" s="84">
        <f t="shared" si="15"/>
        <v>0.69612968070094694</v>
      </c>
      <c r="H46" s="84">
        <f t="shared" si="16"/>
        <v>0.65366792751618064</v>
      </c>
      <c r="I46" s="4"/>
      <c r="J46" s="98">
        <v>1</v>
      </c>
      <c r="K46" s="94">
        <f t="shared" si="4"/>
        <v>8.3333333333333329E-2</v>
      </c>
      <c r="L46" s="47">
        <f t="shared" si="17"/>
        <v>0.69612968070094694</v>
      </c>
      <c r="M46" s="47">
        <f t="shared" si="18"/>
        <v>0.67241880495226991</v>
      </c>
      <c r="N46" s="4"/>
      <c r="O46" s="98">
        <v>7</v>
      </c>
      <c r="P46" s="94">
        <f t="shared" si="5"/>
        <v>8.9743589743589744E-2</v>
      </c>
      <c r="Q46" s="47">
        <f t="shared" si="19"/>
        <v>4.8729077649066284</v>
      </c>
      <c r="R46" s="47">
        <f t="shared" si="20"/>
        <v>4.7069316346658887</v>
      </c>
      <c r="S46" s="51"/>
      <c r="T46" s="138">
        <v>2.7830892374108518E-2</v>
      </c>
      <c r="U46" s="136">
        <f t="shared" si="21"/>
        <v>2.7830892374108518E-2</v>
      </c>
      <c r="W46" s="63">
        <f t="shared" si="6"/>
        <v>-507538.20645147079</v>
      </c>
      <c r="X46" s="63">
        <f t="shared" si="7"/>
        <v>333708.35373476904</v>
      </c>
      <c r="Y46" s="63">
        <f t="shared" si="8"/>
        <v>81986.941042160659</v>
      </c>
      <c r="Z46" s="63">
        <v>0</v>
      </c>
      <c r="AA46" s="63">
        <f t="shared" ca="1" si="9"/>
        <v>0</v>
      </c>
      <c r="AB46" s="64">
        <f t="shared" ca="1" si="10"/>
        <v>-91842.911674541087</v>
      </c>
      <c r="AC46" s="51"/>
      <c r="AD46" s="51">
        <f t="shared" si="0"/>
        <v>-490250.94563713548</v>
      </c>
      <c r="AE46" s="64">
        <f t="shared" si="11"/>
        <v>322341.91220661381</v>
      </c>
      <c r="AF46" s="64">
        <f t="shared" si="12"/>
        <v>79194.383525998797</v>
      </c>
      <c r="AG46" s="51">
        <f t="shared" si="1"/>
        <v>0</v>
      </c>
      <c r="AH46" s="64">
        <f t="shared" ca="1" si="13"/>
        <v>0</v>
      </c>
      <c r="AI46" s="64">
        <f t="shared" ca="1" si="14"/>
        <v>-88714.64990452287</v>
      </c>
      <c r="AJ46" s="57"/>
      <c r="AK46" s="51">
        <f ca="1">SUM(AD46:AD$51,AG46:AG$51)/D46+SUM(AE47:AF$52,AH47:AH$51)/D46</f>
        <v>213115.41875655949</v>
      </c>
      <c r="AL46" s="51">
        <f>SUM(AE47:$AF$52)*$F$14/D46</f>
        <v>123441.58000821706</v>
      </c>
      <c r="AM46" s="19"/>
      <c r="AN46" s="51">
        <f ca="1">-SUM(AD46:$AD$52,AH46:$AH$52)/D46</f>
        <v>2255716.1814077813</v>
      </c>
      <c r="AO46" s="51">
        <f ca="1">-SUM(W46:$W$52,AA46:$AA$52)</f>
        <v>2276849.7956141317</v>
      </c>
      <c r="AP46" s="19"/>
      <c r="AQ46" s="19"/>
      <c r="AR46" s="19"/>
      <c r="AS46" s="19"/>
    </row>
    <row r="47" spans="1:63" outlineLevel="1" x14ac:dyDescent="0.55000000000000004">
      <c r="A47" s="9"/>
      <c r="B47" s="1" t="s">
        <v>19</v>
      </c>
      <c r="C47" s="3">
        <v>8</v>
      </c>
      <c r="D47" s="87">
        <f t="shared" si="2"/>
        <v>0.96116878123798488</v>
      </c>
      <c r="E47" s="4"/>
      <c r="F47" s="84">
        <f t="shared" si="3"/>
        <v>0.64000000000000012</v>
      </c>
      <c r="G47" s="84">
        <f t="shared" si="15"/>
        <v>0.65835880430098059</v>
      </c>
      <c r="H47" s="84">
        <f t="shared" si="16"/>
        <v>0.61514801999231039</v>
      </c>
      <c r="I47" s="4"/>
      <c r="J47" s="98">
        <v>1</v>
      </c>
      <c r="K47" s="94">
        <f t="shared" si="4"/>
        <v>8.3333333333333329E-2</v>
      </c>
      <c r="L47" s="47">
        <f t="shared" si="17"/>
        <v>0.65835880430098059</v>
      </c>
      <c r="M47" s="47">
        <f t="shared" si="18"/>
        <v>0.63279392954727054</v>
      </c>
      <c r="N47" s="4"/>
      <c r="O47" s="98">
        <v>8</v>
      </c>
      <c r="P47" s="94">
        <f t="shared" si="5"/>
        <v>0.10256410256410256</v>
      </c>
      <c r="Q47" s="47">
        <f t="shared" si="19"/>
        <v>5.2668704344078447</v>
      </c>
      <c r="R47" s="47">
        <f t="shared" si="20"/>
        <v>5.0623514363781643</v>
      </c>
      <c r="S47" s="51"/>
      <c r="T47" s="138">
        <v>1.5225286106495761E-2</v>
      </c>
      <c r="U47" s="136">
        <f t="shared" si="21"/>
        <v>1.5225286106495761E-2</v>
      </c>
      <c r="W47" s="63">
        <f t="shared" si="6"/>
        <v>-480000.00000000012</v>
      </c>
      <c r="X47" s="63">
        <f t="shared" si="7"/>
        <v>361586.21538461553</v>
      </c>
      <c r="Y47" s="63">
        <f t="shared" si="8"/>
        <v>88615.384615384639</v>
      </c>
      <c r="Z47" s="63">
        <v>0</v>
      </c>
      <c r="AA47" s="63">
        <f t="shared" ca="1" si="9"/>
        <v>0</v>
      </c>
      <c r="AB47" s="64">
        <f t="shared" ca="1" si="10"/>
        <v>-29798.399999999951</v>
      </c>
      <c r="AC47" s="51"/>
      <c r="AD47" s="51">
        <f t="shared" si="0"/>
        <v>-461361.01499423286</v>
      </c>
      <c r="AE47" s="64">
        <f t="shared" si="11"/>
        <v>347545.38195368642</v>
      </c>
      <c r="AF47" s="64">
        <f t="shared" si="12"/>
        <v>85174.341229704529</v>
      </c>
      <c r="AG47" s="51">
        <f t="shared" si="1"/>
        <v>0</v>
      </c>
      <c r="AH47" s="64">
        <f t="shared" ca="1" si="13"/>
        <v>0</v>
      </c>
      <c r="AI47" s="64">
        <f t="shared" ca="1" si="14"/>
        <v>-28641.291810841911</v>
      </c>
      <c r="AJ47" s="57"/>
      <c r="AK47" s="51">
        <f ca="1">SUM(AD47:AD$51,AG47:AG$51)/D47+SUM(AE48:AF$52,AH48:AH$51)/D47</f>
        <v>274028.57983791898</v>
      </c>
      <c r="AL47" s="51">
        <f>SUM(AE48:$AF$52)*$F$14/D47</f>
        <v>101544.132123086</v>
      </c>
      <c r="AM47" s="19"/>
      <c r="AN47" s="51">
        <f ca="1">-SUM(AD47:$AD$52,AH47:$AH$52)/D47</f>
        <v>1756854.0626238009</v>
      </c>
      <c r="AO47" s="51">
        <f ca="1">-SUM(W47:$W$52,AA47:$AA$52)</f>
        <v>1769311.589162661</v>
      </c>
      <c r="AP47" s="19"/>
      <c r="AQ47" s="19"/>
      <c r="AR47" s="19"/>
      <c r="AS47" s="19"/>
    </row>
    <row r="48" spans="1:63" outlineLevel="1" x14ac:dyDescent="0.55000000000000004">
      <c r="A48" s="9"/>
      <c r="B48" s="1" t="s">
        <v>20</v>
      </c>
      <c r="C48" s="3">
        <v>9</v>
      </c>
      <c r="D48" s="87">
        <f t="shared" si="2"/>
        <v>0.95642212368304769</v>
      </c>
      <c r="E48" s="4"/>
      <c r="F48" s="84">
        <f t="shared" si="3"/>
        <v>0.60527462976203261</v>
      </c>
      <c r="G48" s="84">
        <f t="shared" si="15"/>
        <v>0.62263731488101637</v>
      </c>
      <c r="H48" s="84">
        <f t="shared" si="16"/>
        <v>0.57889804680847368</v>
      </c>
      <c r="I48" s="4"/>
      <c r="J48" s="98">
        <v>1</v>
      </c>
      <c r="K48" s="94">
        <f t="shared" si="4"/>
        <v>8.3333333333333329E-2</v>
      </c>
      <c r="L48" s="47">
        <f t="shared" si="17"/>
        <v>0.62263731488101637</v>
      </c>
      <c r="M48" s="47">
        <f t="shared" si="18"/>
        <v>0.5955041029828122</v>
      </c>
      <c r="N48" s="4"/>
      <c r="O48" s="98">
        <v>9</v>
      </c>
      <c r="P48" s="94">
        <f t="shared" si="5"/>
        <v>0.11538461538461539</v>
      </c>
      <c r="Q48" s="47">
        <f t="shared" si="19"/>
        <v>5.6037358339291474</v>
      </c>
      <c r="R48" s="47">
        <f t="shared" si="20"/>
        <v>5.3595369268453092</v>
      </c>
      <c r="S48" s="51"/>
      <c r="T48" s="138">
        <v>1.3868361840445591E-2</v>
      </c>
      <c r="U48" s="136">
        <f t="shared" si="21"/>
        <v>1.3868361840445591E-2</v>
      </c>
      <c r="W48" s="63">
        <f t="shared" si="6"/>
        <v>-453955.97232152446</v>
      </c>
      <c r="X48" s="63">
        <f t="shared" si="7"/>
        <v>385671.21703415998</v>
      </c>
      <c r="Y48" s="63">
        <f t="shared" si="8"/>
        <v>94283.163482162781</v>
      </c>
      <c r="Z48" s="63">
        <v>0</v>
      </c>
      <c r="AA48" s="63">
        <f t="shared" ca="1" si="9"/>
        <v>0</v>
      </c>
      <c r="AB48" s="64">
        <f t="shared" ca="1" si="10"/>
        <v>25998.408194798307</v>
      </c>
      <c r="AC48" s="51"/>
      <c r="AD48" s="51">
        <f t="shared" si="0"/>
        <v>-434173.53510635527</v>
      </c>
      <c r="AE48" s="64">
        <f t="shared" si="11"/>
        <v>368864.48443923687</v>
      </c>
      <c r="AF48" s="64">
        <f t="shared" si="12"/>
        <v>90174.50344516609</v>
      </c>
      <c r="AG48" s="51">
        <f t="shared" si="1"/>
        <v>0</v>
      </c>
      <c r="AH48" s="64">
        <f t="shared" ca="1" si="13"/>
        <v>0</v>
      </c>
      <c r="AI48" s="64">
        <f t="shared" ca="1" si="14"/>
        <v>24865.452778047693</v>
      </c>
      <c r="AJ48" s="57"/>
      <c r="AK48" s="51">
        <f ca="1">SUM(AD48:AD$51,AG48:AG$51)/D48+SUM(AE49:AF$52,AH49:AH$51)/D48</f>
        <v>277816.39156757179</v>
      </c>
      <c r="AL48" s="51">
        <f>SUM(AE49:$AF$52)*$F$14/D48</f>
        <v>78050.369676657079</v>
      </c>
      <c r="AM48" s="19"/>
      <c r="AN48" s="51">
        <f ca="1">-SUM(AD48:$AD$52,AH48:$AH$52)/D48</f>
        <v>1283191.0019655698</v>
      </c>
      <c r="AO48" s="51">
        <f ca="1">-SUM(W48:$W$52,AA48:$AA$52)</f>
        <v>1289311.5891626608</v>
      </c>
      <c r="AP48" s="19"/>
      <c r="AQ48" s="19"/>
      <c r="AR48" s="19"/>
      <c r="AS48" s="19"/>
    </row>
    <row r="49" spans="1:45" outlineLevel="1" x14ac:dyDescent="0.55000000000000004">
      <c r="A49" s="9"/>
      <c r="B49" s="1" t="s">
        <v>21</v>
      </c>
      <c r="C49" s="3">
        <v>10</v>
      </c>
      <c r="D49" s="87">
        <f t="shared" si="2"/>
        <v>0.95169890712867522</v>
      </c>
      <c r="E49" s="4"/>
      <c r="F49" s="84">
        <f t="shared" si="3"/>
        <v>0.57243340223994621</v>
      </c>
      <c r="G49" s="84">
        <f t="shared" si="15"/>
        <v>0.58885401600098941</v>
      </c>
      <c r="H49" s="84">
        <f t="shared" si="16"/>
        <v>0.54478424331570618</v>
      </c>
      <c r="I49" s="4"/>
      <c r="J49" s="98">
        <v>1</v>
      </c>
      <c r="K49" s="94">
        <f t="shared" si="4"/>
        <v>8.3333333333333329E-2</v>
      </c>
      <c r="L49" s="47">
        <f t="shared" si="17"/>
        <v>0.58885401600098941</v>
      </c>
      <c r="M49" s="47">
        <f t="shared" si="18"/>
        <v>0.56041172348647306</v>
      </c>
      <c r="N49" s="4"/>
      <c r="O49" s="98">
        <v>10</v>
      </c>
      <c r="P49" s="94">
        <f t="shared" si="5"/>
        <v>0.12820512820512819</v>
      </c>
      <c r="Q49" s="47">
        <f t="shared" si="19"/>
        <v>5.8885401600098941</v>
      </c>
      <c r="R49" s="47">
        <f t="shared" si="20"/>
        <v>5.6041172348647308</v>
      </c>
      <c r="S49" s="51"/>
      <c r="T49" s="138">
        <v>5.0809898881113407E-3</v>
      </c>
      <c r="U49" s="136">
        <f t="shared" si="21"/>
        <v>5.0809898881113407E-3</v>
      </c>
      <c r="W49" s="63">
        <f t="shared" si="6"/>
        <v>-429325.05167995964</v>
      </c>
      <c r="X49" s="63">
        <f t="shared" si="7"/>
        <v>406281.97884555988</v>
      </c>
      <c r="Y49" s="63">
        <f t="shared" si="8"/>
        <v>99075.011926144522</v>
      </c>
      <c r="Z49" s="63">
        <v>0</v>
      </c>
      <c r="AA49" s="63">
        <f t="shared" ca="1" si="9"/>
        <v>0</v>
      </c>
      <c r="AB49" s="64">
        <f t="shared" ca="1" si="10"/>
        <v>76031.93909174476</v>
      </c>
      <c r="AC49" s="51"/>
      <c r="AD49" s="51">
        <f t="shared" si="0"/>
        <v>-408588.18248677958</v>
      </c>
      <c r="AE49" s="64">
        <f t="shared" si="11"/>
        <v>386658.11525339488</v>
      </c>
      <c r="AF49" s="64">
        <f t="shared" si="12"/>
        <v>94289.580573872212</v>
      </c>
      <c r="AG49" s="51">
        <f t="shared" si="1"/>
        <v>0</v>
      </c>
      <c r="AH49" s="64">
        <f t="shared" ca="1" si="13"/>
        <v>0</v>
      </c>
      <c r="AI49" s="64">
        <f t="shared" ca="1" si="14"/>
        <v>72359.513340487509</v>
      </c>
      <c r="AJ49" s="57"/>
      <c r="AK49" s="51">
        <f ca="1">SUM(AD49:AD$51,AG49:AG$51)/D49+SUM(AE50:AF$52,AH50:AH$51)/D49</f>
        <v>230047.10928653518</v>
      </c>
      <c r="AL49" s="51">
        <f>SUM(AE50:$AF$52)*$F$14/D49</f>
        <v>53169.878782040374</v>
      </c>
      <c r="AM49" s="19"/>
      <c r="AN49" s="51">
        <f ca="1">-SUM(AD49:$AD$52,AH49:$AH$52)/D49</f>
        <v>833350.46635427244</v>
      </c>
      <c r="AO49" s="51">
        <f ca="1">-SUM(W49:$W$52,AA49:$AA$52)</f>
        <v>835355.61684113625</v>
      </c>
      <c r="AP49" s="19"/>
      <c r="AQ49" s="19"/>
      <c r="AR49" s="19"/>
      <c r="AS49" s="19"/>
    </row>
    <row r="50" spans="1:45" outlineLevel="1" x14ac:dyDescent="0.55000000000000004">
      <c r="A50" s="9"/>
      <c r="B50" s="1" t="s">
        <v>22</v>
      </c>
      <c r="C50" s="3">
        <v>11</v>
      </c>
      <c r="D50" s="87">
        <f t="shared" si="2"/>
        <v>0.94699901581330248</v>
      </c>
      <c r="E50" s="4"/>
      <c r="F50" s="84">
        <f t="shared" si="3"/>
        <v>0.54137408688156885</v>
      </c>
      <c r="G50" s="84">
        <f t="shared" si="15"/>
        <v>0.55690374456075753</v>
      </c>
      <c r="H50" s="84">
        <f t="shared" si="16"/>
        <v>0.51268072746367099</v>
      </c>
      <c r="I50" s="4"/>
      <c r="J50" s="98">
        <v>1</v>
      </c>
      <c r="K50" s="94">
        <f t="shared" si="4"/>
        <v>8.3333333333333329E-2</v>
      </c>
      <c r="L50" s="47">
        <f t="shared" si="17"/>
        <v>0.55690374456075753</v>
      </c>
      <c r="M50" s="47">
        <f t="shared" si="18"/>
        <v>0.52738729800178019</v>
      </c>
      <c r="N50" s="4"/>
      <c r="O50" s="98">
        <v>11</v>
      </c>
      <c r="P50" s="94">
        <f t="shared" si="5"/>
        <v>0.14102564102564102</v>
      </c>
      <c r="Q50" s="47">
        <f t="shared" si="19"/>
        <v>6.1259411901683327</v>
      </c>
      <c r="R50" s="47">
        <f t="shared" si="20"/>
        <v>5.8012602780195817</v>
      </c>
      <c r="S50" s="51"/>
      <c r="T50" s="138">
        <v>6.0769058883075608E-3</v>
      </c>
      <c r="U50" s="136">
        <f t="shared" si="21"/>
        <v>6.0769058883075608E-3</v>
      </c>
      <c r="W50" s="63">
        <f t="shared" si="6"/>
        <v>-406030.56516117667</v>
      </c>
      <c r="X50" s="63">
        <f t="shared" si="7"/>
        <v>423714.26399923244</v>
      </c>
      <c r="Y50" s="63">
        <f t="shared" si="8"/>
        <v>103069.29731014484</v>
      </c>
      <c r="Z50" s="63">
        <v>0</v>
      </c>
      <c r="AA50" s="63">
        <f t="shared" ca="1" si="9"/>
        <v>0</v>
      </c>
      <c r="AB50" s="64">
        <f t="shared" ca="1" si="10"/>
        <v>120752.99614820062</v>
      </c>
      <c r="AC50" s="51"/>
      <c r="AD50" s="51">
        <f t="shared" si="0"/>
        <v>-384510.54559775331</v>
      </c>
      <c r="AE50" s="64">
        <f t="shared" si="11"/>
        <v>401256.99099333095</v>
      </c>
      <c r="AF50" s="64">
        <f t="shared" si="12"/>
        <v>97606.523113275834</v>
      </c>
      <c r="AG50" s="51">
        <f t="shared" si="1"/>
        <v>0</v>
      </c>
      <c r="AH50" s="64">
        <f t="shared" ca="1" si="13"/>
        <v>0</v>
      </c>
      <c r="AI50" s="64">
        <f t="shared" ca="1" si="14"/>
        <v>114352.96850885348</v>
      </c>
      <c r="AJ50" s="57"/>
      <c r="AK50" s="51">
        <f ca="1">SUM(AD50:AD$51,AG50:AG$51)/D50+SUM(AE51:AF$52,AH51:AH$51)/D50</f>
        <v>135861.01857326971</v>
      </c>
      <c r="AL50" s="51">
        <f>SUM(AE51:$AF$52)*$F$14/D50</f>
        <v>27094.579186722323</v>
      </c>
      <c r="AM50" s="19"/>
      <c r="AN50" s="51">
        <f ca="1">-SUM(AD50:$AD$52,AH50:$AH$52)/D50</f>
        <v>406030.56516117672</v>
      </c>
      <c r="AO50" s="51">
        <f ca="1">-SUM(W50:$W$52,AA50:$AA$52)</f>
        <v>406030.56516117667</v>
      </c>
      <c r="AP50" s="19"/>
      <c r="AQ50" s="19"/>
      <c r="AR50" s="19"/>
      <c r="AS50" s="19"/>
    </row>
    <row r="51" spans="1:45" outlineLevel="1" x14ac:dyDescent="0.55000000000000004">
      <c r="A51" s="9"/>
      <c r="B51" s="1" t="s">
        <v>23</v>
      </c>
      <c r="C51" s="3">
        <v>12</v>
      </c>
      <c r="D51" s="87">
        <f t="shared" si="2"/>
        <v>0.94232233454704384</v>
      </c>
      <c r="E51" s="4"/>
      <c r="F51" s="84">
        <f t="shared" si="3"/>
        <v>0.51200000000000012</v>
      </c>
      <c r="G51" s="84">
        <f t="shared" si="15"/>
        <v>0.52668704344078443</v>
      </c>
      <c r="H51" s="84">
        <f t="shared" si="16"/>
        <v>0.48246903528808655</v>
      </c>
      <c r="I51" s="4"/>
      <c r="J51" s="98">
        <v>1</v>
      </c>
      <c r="K51" s="94">
        <f t="shared" si="4"/>
        <v>8.3333333333333329E-2</v>
      </c>
      <c r="L51" s="47">
        <f t="shared" si="17"/>
        <v>0.52668704344078443</v>
      </c>
      <c r="M51" s="47">
        <f t="shared" si="18"/>
        <v>0.4963089643508003</v>
      </c>
      <c r="N51" s="4"/>
      <c r="O51" s="98">
        <v>12</v>
      </c>
      <c r="P51" s="94">
        <f t="shared" si="5"/>
        <v>0.15384615384615385</v>
      </c>
      <c r="Q51" s="47">
        <f t="shared" si="19"/>
        <v>6.3202445212894132</v>
      </c>
      <c r="R51" s="47">
        <f t="shared" si="20"/>
        <v>5.9557075722096036</v>
      </c>
      <c r="S51" s="51"/>
      <c r="T51" s="138">
        <v>6.7969588236102014E-3</v>
      </c>
      <c r="U51" s="136">
        <f t="shared" si="21"/>
        <v>6.7969588236102014E-3</v>
      </c>
      <c r="W51" s="63">
        <f t="shared" si="6"/>
        <v>0</v>
      </c>
      <c r="X51" s="63">
        <f t="shared" si="7"/>
        <v>438242.49304615392</v>
      </c>
      <c r="Y51" s="63">
        <f t="shared" si="8"/>
        <v>106338.46153846156</v>
      </c>
      <c r="Z51" s="63">
        <v>0</v>
      </c>
      <c r="AA51" s="63">
        <f t="shared" ca="1" si="9"/>
        <v>0</v>
      </c>
      <c r="AB51" s="64">
        <f t="shared" ca="1" si="10"/>
        <v>544580.95458461554</v>
      </c>
      <c r="AC51" s="51"/>
      <c r="AD51" s="51">
        <f t="shared" si="0"/>
        <v>0</v>
      </c>
      <c r="AE51" s="64">
        <f t="shared" si="11"/>
        <v>412965.6891449684</v>
      </c>
      <c r="AF51" s="64">
        <f t="shared" si="12"/>
        <v>100205.10732906414</v>
      </c>
      <c r="AG51" s="51">
        <f t="shared" si="1"/>
        <v>0</v>
      </c>
      <c r="AH51" s="64">
        <f t="shared" ca="1" si="13"/>
        <v>0</v>
      </c>
      <c r="AI51" s="64">
        <f t="shared" ca="1" si="14"/>
        <v>513170.79647403257</v>
      </c>
      <c r="AJ51" s="57"/>
      <c r="AK51" s="51">
        <f ca="1">SUM(AD51:AD$51,AG51:AG$51)/D51+SUM(AE52:AF$52,AH$51:AH52)/D51</f>
        <v>0</v>
      </c>
      <c r="AL51" s="51">
        <f>SUM(AE52:$AF$52)*$F$14/D51</f>
        <v>0</v>
      </c>
      <c r="AM51" s="19"/>
      <c r="AN51" s="51">
        <f ca="1">-SUM(AD51:$AD$52,AH51:$AH$52)/D51</f>
        <v>0</v>
      </c>
      <c r="AO51" s="51">
        <f ca="1">-SUM(W51:$W$52,AA51:$AA$52)</f>
        <v>0</v>
      </c>
      <c r="AP51" s="19"/>
      <c r="AQ51" s="19"/>
      <c r="AR51" s="19"/>
      <c r="AS51" s="19"/>
    </row>
    <row r="52" spans="1:45" outlineLevel="1" x14ac:dyDescent="0.55000000000000004">
      <c r="B52" s="8"/>
      <c r="C52" s="6"/>
      <c r="D52" s="7"/>
      <c r="E52" s="2"/>
      <c r="F52" s="85"/>
      <c r="G52" s="85"/>
      <c r="H52" s="79"/>
      <c r="I52" s="2"/>
      <c r="J52" s="6"/>
      <c r="K52" s="6"/>
      <c r="L52" s="71"/>
      <c r="M52" s="90"/>
      <c r="N52" s="2"/>
      <c r="O52" s="12"/>
      <c r="P52" s="12"/>
      <c r="Q52" s="50"/>
      <c r="R52" s="90"/>
      <c r="S52" s="55"/>
      <c r="T52" s="137"/>
      <c r="U52" s="137"/>
      <c r="W52" s="66"/>
      <c r="X52" s="66"/>
      <c r="Y52" s="66"/>
      <c r="Z52" s="66"/>
      <c r="AA52" s="66"/>
      <c r="AB52" s="66"/>
      <c r="AC52" s="55"/>
      <c r="AD52" s="67"/>
      <c r="AE52" s="68"/>
      <c r="AF52" s="68"/>
      <c r="AG52" s="67"/>
      <c r="AH52" s="67"/>
      <c r="AI52" s="68"/>
      <c r="AJ52" s="57"/>
      <c r="AK52" s="67"/>
      <c r="AL52" s="67"/>
      <c r="AM52" s="19"/>
      <c r="AN52" s="122"/>
      <c r="AO52" s="122"/>
      <c r="AP52" s="19"/>
      <c r="AQ52" s="19"/>
      <c r="AR52" s="19"/>
      <c r="AS52" s="19"/>
    </row>
    <row r="53" spans="1:45" outlineLevel="1" x14ac:dyDescent="0.55000000000000004">
      <c r="A53" s="9"/>
      <c r="B53" s="4"/>
      <c r="C53" s="4"/>
      <c r="D53" s="4"/>
      <c r="E53" s="4"/>
      <c r="F53" s="3"/>
      <c r="G53" s="3"/>
      <c r="H53" s="4"/>
      <c r="I53" s="4"/>
      <c r="J53" s="4"/>
      <c r="K53" s="4"/>
      <c r="L53" s="51"/>
      <c r="M53" s="51"/>
      <c r="N53" s="4"/>
      <c r="O53" s="4"/>
      <c r="P53" s="4"/>
      <c r="Q53" s="51"/>
      <c r="R53" s="51"/>
      <c r="S53" s="51"/>
      <c r="T53" s="4"/>
      <c r="U53" s="4"/>
      <c r="W53" s="51"/>
      <c r="X53" s="51"/>
      <c r="Y53" s="51"/>
      <c r="Z53" s="51"/>
      <c r="AA53" s="51"/>
      <c r="AB53" s="51"/>
      <c r="AC53" s="51"/>
      <c r="AD53" s="51"/>
      <c r="AE53" s="51"/>
      <c r="AF53" s="51"/>
      <c r="AG53" s="51"/>
      <c r="AH53" s="51"/>
      <c r="AI53" s="51"/>
      <c r="AJ53" s="57"/>
      <c r="AK53" s="51"/>
      <c r="AL53" s="51"/>
      <c r="AM53" s="19"/>
      <c r="AN53" s="55"/>
      <c r="AO53" s="55"/>
      <c r="AP53" s="19"/>
      <c r="AQ53" s="19"/>
      <c r="AR53" s="19"/>
      <c r="AS53" s="19"/>
    </row>
    <row r="54" spans="1:45" outlineLevel="1" x14ac:dyDescent="0.55000000000000004">
      <c r="A54" s="9"/>
      <c r="B54" s="24"/>
      <c r="C54" s="24"/>
      <c r="D54" s="25"/>
      <c r="E54" s="4"/>
      <c r="F54" s="26"/>
      <c r="G54" s="26"/>
      <c r="H54" s="26"/>
      <c r="I54" s="4"/>
      <c r="J54" s="80">
        <f>SUM(J40:J51)</f>
        <v>12</v>
      </c>
      <c r="K54" s="95">
        <f>SUM(K40:K51)</f>
        <v>1</v>
      </c>
      <c r="L54" s="81">
        <f>SUM(L40:L51)</f>
        <v>8.750000578243526</v>
      </c>
      <c r="M54" s="81">
        <f>SUM(M40:M51)</f>
        <v>8.5018494039607937</v>
      </c>
      <c r="N54" s="4"/>
      <c r="O54" s="80">
        <f>SUM(O40:O51)</f>
        <v>78</v>
      </c>
      <c r="P54" s="95">
        <f>SUM(P40:P51)</f>
        <v>1</v>
      </c>
      <c r="Q54" s="81">
        <f>SUM(Q40:Q51)</f>
        <v>51.101448171363167</v>
      </c>
      <c r="R54" s="81">
        <f>SUM(R40:R51)</f>
        <v>49.162749367200576</v>
      </c>
      <c r="S54" s="52"/>
      <c r="T54" s="80">
        <f>SUM(T40:T51)</f>
        <v>1</v>
      </c>
      <c r="U54" s="95">
        <f>SUM(U40:U51)</f>
        <v>1</v>
      </c>
      <c r="W54" s="52">
        <f t="shared" ref="W54:AB54" si="22">SUM(W39:W51)</f>
        <v>-6745500.4336826438</v>
      </c>
      <c r="X54" s="52">
        <f t="shared" si="22"/>
        <v>3506929.6337126303</v>
      </c>
      <c r="Y54" s="52">
        <f t="shared" si="22"/>
        <v>859784.67488494725</v>
      </c>
      <c r="Z54" s="52">
        <f t="shared" si="22"/>
        <v>-900000</v>
      </c>
      <c r="AA54" s="52">
        <f t="shared" ca="1" si="22"/>
        <v>0</v>
      </c>
      <c r="AB54" s="52">
        <f t="shared" ca="1" si="22"/>
        <v>-3278786.1250850661</v>
      </c>
      <c r="AC54" s="51"/>
      <c r="AD54" s="52">
        <f t="shared" ref="AD54:AI54" si="23">SUM(AD39:AD51)</f>
        <v>-6586725.1807208406</v>
      </c>
      <c r="AE54" s="52">
        <f t="shared" si="23"/>
        <v>3373497.4319398641</v>
      </c>
      <c r="AF54" s="52">
        <f t="shared" si="23"/>
        <v>827165.96092116449</v>
      </c>
      <c r="AG54" s="52">
        <f t="shared" si="23"/>
        <v>-900000</v>
      </c>
      <c r="AH54" s="52">
        <f t="shared" ca="1" si="23"/>
        <v>0</v>
      </c>
      <c r="AI54" s="52">
        <f t="shared" ca="1" si="23"/>
        <v>-3286061.7878598101</v>
      </c>
      <c r="AJ54" s="52"/>
      <c r="AK54" s="52"/>
      <c r="AL54" s="52"/>
      <c r="AM54" s="19"/>
      <c r="AN54" s="129"/>
      <c r="AO54" s="51"/>
    </row>
    <row r="55" spans="1:45" ht="15.3" x14ac:dyDescent="0.55000000000000004">
      <c r="A55" s="9"/>
      <c r="B55" s="24"/>
      <c r="C55" s="24"/>
      <c r="D55" s="4"/>
      <c r="E55" s="4"/>
      <c r="F55" s="4"/>
      <c r="G55" s="4"/>
      <c r="H55" s="4"/>
      <c r="I55" s="4"/>
      <c r="J55" s="24"/>
      <c r="K55" s="24"/>
      <c r="L55" s="52"/>
      <c r="M55" s="52"/>
      <c r="N55" s="4"/>
      <c r="O55" s="24"/>
      <c r="P55" s="24"/>
      <c r="Q55" s="52"/>
      <c r="R55" s="52"/>
      <c r="S55" s="51"/>
      <c r="W55" s="52"/>
      <c r="X55" s="72"/>
      <c r="Y55" s="72"/>
      <c r="Z55" s="52"/>
      <c r="AA55" s="52"/>
      <c r="AB55" s="52"/>
      <c r="AC55" s="51"/>
      <c r="AD55" s="135"/>
      <c r="AE55" s="73"/>
      <c r="AF55" s="73"/>
      <c r="AG55" s="52"/>
      <c r="AH55" s="52"/>
      <c r="AI55" s="52"/>
      <c r="AJ55" s="57"/>
      <c r="AK55" s="52"/>
      <c r="AL55" s="52"/>
      <c r="AM55" s="52"/>
      <c r="AN55" s="52"/>
      <c r="AO55" s="51"/>
    </row>
    <row r="56" spans="1:45" ht="15.3" x14ac:dyDescent="0.55000000000000004">
      <c r="A56" s="9"/>
      <c r="B56" s="24"/>
      <c r="C56" s="24"/>
      <c r="D56" s="4"/>
      <c r="E56" s="4"/>
      <c r="F56" s="4"/>
      <c r="G56" s="4"/>
      <c r="H56" s="4"/>
      <c r="I56" s="4"/>
      <c r="J56" s="24"/>
      <c r="K56" s="24"/>
      <c r="L56" s="52"/>
      <c r="M56" s="52"/>
      <c r="N56" s="4"/>
      <c r="O56" s="24"/>
      <c r="P56" s="24"/>
      <c r="Q56" s="52"/>
      <c r="R56" s="52"/>
      <c r="S56" s="51"/>
      <c r="W56" s="52"/>
      <c r="X56" s="72"/>
      <c r="Y56" s="72"/>
      <c r="Z56" s="52"/>
      <c r="AA56" s="52"/>
      <c r="AB56" s="52"/>
      <c r="AC56" s="51"/>
      <c r="AD56" s="135"/>
      <c r="AE56" s="73"/>
      <c r="AF56" s="73"/>
      <c r="AG56" s="52"/>
      <c r="AH56" s="52"/>
      <c r="AI56" s="52"/>
      <c r="AJ56" s="57"/>
      <c r="AK56" s="52"/>
      <c r="AL56" s="52"/>
      <c r="AM56" s="52"/>
      <c r="AN56" s="52"/>
      <c r="AO56" s="51"/>
    </row>
    <row r="57" spans="1:45" ht="18.3" x14ac:dyDescent="0.55000000000000004">
      <c r="A57" s="2"/>
      <c r="B57" s="144" t="s">
        <v>172</v>
      </c>
      <c r="C57" s="108"/>
      <c r="D57" s="109"/>
      <c r="H57" s="106"/>
      <c r="J57" s="2"/>
      <c r="K57" s="2"/>
      <c r="N57" s="2"/>
      <c r="O57" s="2"/>
      <c r="P57" s="2"/>
      <c r="Q57" s="2"/>
      <c r="S57" s="2"/>
      <c r="W57" s="55"/>
      <c r="X57" s="55"/>
      <c r="Y57" s="55"/>
      <c r="Z57" s="55"/>
      <c r="AA57" s="55"/>
      <c r="AB57" s="55"/>
      <c r="AC57" s="2"/>
      <c r="AD57" s="22"/>
      <c r="AE57" s="2"/>
      <c r="AF57" s="2"/>
      <c r="AG57" s="2"/>
      <c r="AH57" s="2"/>
      <c r="AI57" s="2"/>
      <c r="AJ57" s="21"/>
      <c r="AK57" s="2"/>
      <c r="AL57" s="2"/>
      <c r="AM57" s="2"/>
      <c r="AN57" s="55"/>
      <c r="AO57" s="55"/>
    </row>
    <row r="58" spans="1:45" outlineLevel="1" x14ac:dyDescent="0.55000000000000004">
      <c r="D58" s="2"/>
      <c r="E58" s="2"/>
      <c r="F58" s="2"/>
      <c r="G58" s="2"/>
      <c r="H58" s="2"/>
      <c r="I58" s="2"/>
      <c r="J58" s="2"/>
      <c r="K58" s="2"/>
      <c r="L58" s="2"/>
      <c r="M58" s="2"/>
      <c r="N58" s="2"/>
      <c r="O58" s="2"/>
      <c r="P58" s="2"/>
      <c r="Q58" s="2"/>
      <c r="R58" s="2"/>
      <c r="S58" s="2"/>
      <c r="W58" s="55"/>
      <c r="X58" s="55"/>
      <c r="Y58" s="55"/>
      <c r="Z58" s="55"/>
      <c r="AA58" s="114"/>
      <c r="AB58" s="115"/>
      <c r="AC58" s="2"/>
      <c r="AD58" s="2"/>
      <c r="AE58" s="2"/>
      <c r="AF58" s="2"/>
      <c r="AG58" s="2"/>
      <c r="AH58" s="2"/>
      <c r="AI58" s="2"/>
      <c r="AJ58" s="21"/>
      <c r="AK58" s="2"/>
      <c r="AL58" s="2"/>
      <c r="AM58" s="2"/>
      <c r="AN58" s="55"/>
      <c r="AO58" s="55"/>
    </row>
    <row r="59" spans="1:45" ht="19.899999999999999" customHeight="1" outlineLevel="1" x14ac:dyDescent="0.55000000000000004">
      <c r="B59" s="173" t="s">
        <v>68</v>
      </c>
      <c r="C59" s="173"/>
      <c r="D59" s="173"/>
      <c r="E59" s="2"/>
      <c r="F59" s="174" t="s">
        <v>129</v>
      </c>
      <c r="G59" s="174"/>
      <c r="H59" s="174"/>
      <c r="I59" s="2"/>
      <c r="J59" s="174" t="s">
        <v>70</v>
      </c>
      <c r="K59" s="174"/>
      <c r="L59" s="174"/>
      <c r="M59" s="174"/>
      <c r="N59" s="2"/>
      <c r="O59" s="174" t="s">
        <v>39</v>
      </c>
      <c r="P59" s="174"/>
      <c r="Q59" s="174"/>
      <c r="R59" s="174"/>
      <c r="S59" s="2"/>
      <c r="T59" s="170" t="s">
        <v>474</v>
      </c>
      <c r="U59" s="170"/>
      <c r="W59" s="172" t="s">
        <v>32</v>
      </c>
      <c r="X59" s="172"/>
      <c r="Y59" s="172"/>
      <c r="Z59" s="172"/>
      <c r="AA59" s="172"/>
      <c r="AB59" s="172"/>
      <c r="AC59" s="2"/>
      <c r="AD59" s="171" t="s">
        <v>33</v>
      </c>
      <c r="AE59" s="171"/>
      <c r="AF59" s="171"/>
      <c r="AG59" s="171"/>
      <c r="AH59" s="171"/>
      <c r="AI59" s="171"/>
      <c r="AJ59" s="21"/>
      <c r="AK59" s="171" t="s">
        <v>154</v>
      </c>
      <c r="AL59" s="171"/>
      <c r="AM59" s="51"/>
      <c r="AN59" s="172" t="s">
        <v>340</v>
      </c>
      <c r="AO59" s="172"/>
      <c r="AQ59" s="173" t="s">
        <v>147</v>
      </c>
      <c r="AR59" s="173"/>
      <c r="AS59" s="173"/>
    </row>
    <row r="60" spans="1:45" ht="30.6" customHeight="1" outlineLevel="1" x14ac:dyDescent="0.55000000000000004">
      <c r="B60" s="146" t="s">
        <v>149</v>
      </c>
      <c r="C60" s="146" t="s">
        <v>10</v>
      </c>
      <c r="D60" s="78" t="s">
        <v>126</v>
      </c>
      <c r="E60" s="13"/>
      <c r="F60" s="82" t="s">
        <v>129</v>
      </c>
      <c r="G60" s="82" t="s">
        <v>158</v>
      </c>
      <c r="H60" s="86" t="s">
        <v>2</v>
      </c>
      <c r="I60" s="2"/>
      <c r="J60" s="88" t="s">
        <v>127</v>
      </c>
      <c r="K60" s="88" t="s">
        <v>37</v>
      </c>
      <c r="L60" s="48" t="s">
        <v>131</v>
      </c>
      <c r="M60" s="86" t="s">
        <v>2</v>
      </c>
      <c r="N60" s="13"/>
      <c r="O60" s="91" t="s">
        <v>128</v>
      </c>
      <c r="P60" s="91" t="s">
        <v>37</v>
      </c>
      <c r="Q60" s="92" t="s">
        <v>132</v>
      </c>
      <c r="R60" s="86" t="s">
        <v>2</v>
      </c>
      <c r="S60" s="55"/>
      <c r="T60" s="91" t="s">
        <v>159</v>
      </c>
      <c r="U60" s="91" t="s">
        <v>37</v>
      </c>
      <c r="W60" s="53" t="s">
        <v>12</v>
      </c>
      <c r="X60" s="53" t="s">
        <v>35</v>
      </c>
      <c r="Y60" s="53" t="s">
        <v>36</v>
      </c>
      <c r="Z60" s="53" t="s">
        <v>42</v>
      </c>
      <c r="AA60" s="56" t="s">
        <v>121</v>
      </c>
      <c r="AB60" s="53" t="s">
        <v>1</v>
      </c>
      <c r="AC60" s="55"/>
      <c r="AD60" s="53" t="s">
        <v>12</v>
      </c>
      <c r="AE60" s="53" t="s">
        <v>35</v>
      </c>
      <c r="AF60" s="53" t="s">
        <v>36</v>
      </c>
      <c r="AG60" s="56" t="s">
        <v>42</v>
      </c>
      <c r="AH60" s="56" t="s">
        <v>121</v>
      </c>
      <c r="AI60" s="53" t="s">
        <v>1</v>
      </c>
      <c r="AJ60" s="57"/>
      <c r="AK60" s="58" t="s">
        <v>3</v>
      </c>
      <c r="AL60" s="58" t="s">
        <v>0</v>
      </c>
      <c r="AM60" s="51"/>
      <c r="AN60" s="76" t="s">
        <v>46</v>
      </c>
      <c r="AO60" s="76" t="s">
        <v>150</v>
      </c>
      <c r="AQ60" s="58" t="s">
        <v>3</v>
      </c>
      <c r="AR60" s="58" t="s">
        <v>0</v>
      </c>
      <c r="AS60" s="58" t="s">
        <v>12</v>
      </c>
    </row>
    <row r="61" spans="1:45" s="19" customFormat="1" outlineLevel="1" x14ac:dyDescent="0.55000000000000004">
      <c r="B61" s="15" t="s">
        <v>211</v>
      </c>
      <c r="C61" s="15" t="s">
        <v>212</v>
      </c>
      <c r="D61" s="16" t="s">
        <v>213</v>
      </c>
      <c r="E61" s="20"/>
      <c r="F61" s="83" t="s">
        <v>214</v>
      </c>
      <c r="G61" s="83" t="s">
        <v>215</v>
      </c>
      <c r="H61" s="18" t="s">
        <v>216</v>
      </c>
      <c r="I61" s="23"/>
      <c r="J61" s="18" t="s">
        <v>217</v>
      </c>
      <c r="K61" s="18" t="s">
        <v>218</v>
      </c>
      <c r="L61" s="18" t="s">
        <v>219</v>
      </c>
      <c r="M61" s="17" t="s">
        <v>220</v>
      </c>
      <c r="N61" s="20"/>
      <c r="O61" s="17" t="s">
        <v>221</v>
      </c>
      <c r="P61" s="17" t="s">
        <v>222</v>
      </c>
      <c r="Q61" s="17" t="s">
        <v>223</v>
      </c>
      <c r="R61" s="143" t="s">
        <v>224</v>
      </c>
      <c r="S61" s="61"/>
      <c r="T61" s="17" t="s">
        <v>225</v>
      </c>
      <c r="U61" s="17" t="s">
        <v>226</v>
      </c>
      <c r="W61" s="60" t="s">
        <v>227</v>
      </c>
      <c r="X61" s="60" t="s">
        <v>228</v>
      </c>
      <c r="Y61" s="60" t="s">
        <v>229</v>
      </c>
      <c r="Z61" s="60" t="s">
        <v>230</v>
      </c>
      <c r="AA61" s="60" t="s">
        <v>231</v>
      </c>
      <c r="AB61" s="60" t="s">
        <v>232</v>
      </c>
      <c r="AC61" s="61"/>
      <c r="AD61" s="60" t="s">
        <v>233</v>
      </c>
      <c r="AE61" s="60" t="s">
        <v>234</v>
      </c>
      <c r="AF61" s="60" t="s">
        <v>235</v>
      </c>
      <c r="AG61" s="60" t="s">
        <v>236</v>
      </c>
      <c r="AH61" s="60" t="s">
        <v>237</v>
      </c>
      <c r="AI61" s="60" t="s">
        <v>238</v>
      </c>
      <c r="AJ61" s="62"/>
      <c r="AK61" s="60" t="s">
        <v>239</v>
      </c>
      <c r="AL61" s="60" t="s">
        <v>240</v>
      </c>
      <c r="AN61" s="60" t="s">
        <v>241</v>
      </c>
      <c r="AO61" s="60" t="s">
        <v>242</v>
      </c>
      <c r="AQ61" s="60" t="s">
        <v>243</v>
      </c>
      <c r="AR61" s="60" t="s">
        <v>244</v>
      </c>
      <c r="AS61" s="60" t="s">
        <v>245</v>
      </c>
    </row>
    <row r="62" spans="1:45" outlineLevel="1" x14ac:dyDescent="0.55000000000000004">
      <c r="B62" s="1"/>
      <c r="C62" s="3">
        <v>0</v>
      </c>
      <c r="D62" s="87">
        <v>1</v>
      </c>
      <c r="E62" s="2"/>
      <c r="F62" s="84">
        <v>1</v>
      </c>
      <c r="G62" s="84"/>
      <c r="H62" s="5"/>
      <c r="I62" s="2"/>
      <c r="J62" s="2"/>
      <c r="K62" s="2"/>
      <c r="L62" s="55"/>
      <c r="M62" s="55"/>
      <c r="N62" s="2"/>
      <c r="O62" s="10"/>
      <c r="P62" s="10"/>
      <c r="Q62" s="49"/>
      <c r="R62" s="55"/>
      <c r="S62" s="55"/>
      <c r="T62" s="2"/>
      <c r="U62" s="2"/>
      <c r="W62" s="63">
        <f t="shared" ref="W62:W74" si="24">IFERROR(IF(C62&gt;=$F$7*4,0,-IF($F$22="pattern",U63*$F$21,IF(AND($F$22="single",C62=0),$F$21,IF(AND($F$22="annual",MOD(C62,4)=0),$F$21/$F$7,IF(AND($F$22="semi-ann",MOD(C62,2)=0),$F$21/(2*$F$7),IF($F$22="quarterly",$F$21/(4*$F$7),0)))))*F62),0)</f>
        <v>-750000</v>
      </c>
      <c r="X62" s="63"/>
      <c r="Y62" s="63"/>
      <c r="Z62" s="63">
        <f>-$F$13*$F$21</f>
        <v>-900000</v>
      </c>
      <c r="AA62" s="63"/>
      <c r="AB62" s="64">
        <f>SUM(W62:AA62)</f>
        <v>-1650000</v>
      </c>
      <c r="AC62" s="55"/>
      <c r="AD62" s="64">
        <f t="shared" ref="AD62:AD74" si="25">W62*$D62</f>
        <v>-750000</v>
      </c>
      <c r="AE62" s="64"/>
      <c r="AF62" s="64"/>
      <c r="AG62" s="64">
        <f t="shared" ref="AG62:AG74" si="26">Z62*$D62</f>
        <v>-900000</v>
      </c>
      <c r="AH62" s="64"/>
      <c r="AI62" s="64">
        <f>SUM(AD62:AH62)</f>
        <v>-1650000</v>
      </c>
      <c r="AJ62" s="57"/>
      <c r="AK62" s="51">
        <f ca="1">SUM(AD62:AD$74,AG62:AG$74)/D62+SUM(AE63:AF$75,AH63:AH$74)/D62</f>
        <v>-3337635.292759628</v>
      </c>
      <c r="AL62" s="51">
        <f>SUM(AE63:$AF$75)*$G$14/D62</f>
        <v>144077.59765522333</v>
      </c>
      <c r="AM62" s="51"/>
      <c r="AN62" s="51">
        <f ca="1">-SUM(AD62:$AD$75,AH62:$AH$75)/D62</f>
        <v>7240221.8812670726</v>
      </c>
      <c r="AO62" s="51">
        <f ca="1">-SUM(W62:$W$75,AA62:$AA$75)</f>
        <v>7429240.0609883014</v>
      </c>
      <c r="AQ62" s="9">
        <f t="shared" ref="AQ62:AQ74" ca="1" si="27">AK62-AK39</f>
        <v>-51573.504899816588</v>
      </c>
      <c r="AR62" s="9">
        <f t="shared" ref="AR62:AR74" si="28">AL62-AL39</f>
        <v>-65955.571987828123</v>
      </c>
      <c r="AS62" s="9">
        <f t="shared" ref="AS62:AS74" ca="1" si="29">IF($F$27="yes",AN62-AN39,AO62-AO39)</f>
        <v>653496.70054623205</v>
      </c>
    </row>
    <row r="63" spans="1:45" outlineLevel="1" x14ac:dyDescent="0.55000000000000004">
      <c r="A63" s="9"/>
      <c r="B63" s="1" t="s">
        <v>6</v>
      </c>
      <c r="C63" s="3">
        <v>1</v>
      </c>
      <c r="D63" s="87">
        <f>D62/(1+$F$17)^(1/4)</f>
        <v>0.99506157747984325</v>
      </c>
      <c r="E63" s="4"/>
      <c r="F63" s="84">
        <f t="shared" ref="F63:F74" si="30">(1-IF(C63&lt;$F$8,$F$19,$G$19))^(C63/4)</f>
        <v>0.94574160900317583</v>
      </c>
      <c r="G63" s="84">
        <f>AVERAGE(F62:F63)</f>
        <v>0.97287080450158792</v>
      </c>
      <c r="H63" s="154">
        <f>F63*D63</f>
        <v>0.94107113734302528</v>
      </c>
      <c r="I63" s="4"/>
      <c r="J63" s="98">
        <v>1</v>
      </c>
      <c r="K63" s="94">
        <f>J63/$J$77</f>
        <v>8.3333333333333329E-2</v>
      </c>
      <c r="L63" s="47">
        <f>J63*G63</f>
        <v>0.97287080450158792</v>
      </c>
      <c r="M63" s="47">
        <f>L63*D63</f>
        <v>0.96806635741143421</v>
      </c>
      <c r="N63" s="4"/>
      <c r="O63" s="98">
        <v>1</v>
      </c>
      <c r="P63" s="94">
        <f>O63/$O$77</f>
        <v>8.3333333333333329E-2</v>
      </c>
      <c r="Q63" s="155">
        <f>O63*G63</f>
        <v>0.97287080450158792</v>
      </c>
      <c r="R63" s="155">
        <f>Q63*D63</f>
        <v>0.96806635741143421</v>
      </c>
      <c r="S63" s="51"/>
      <c r="T63" s="138">
        <v>0.20282873599525819</v>
      </c>
      <c r="U63" s="136">
        <f>T63/$T$77</f>
        <v>0.20282873599525819</v>
      </c>
      <c r="W63" s="63">
        <f t="shared" si="24"/>
        <v>-709306.20675238187</v>
      </c>
      <c r="X63" s="63">
        <f>$F$21*IF(C63&lt;$F$8,$F$11,$G$11)*P63*((1+$F$18)^(MIN($F$8-1,C63)/4))*((1+$G$18)^(MAX(0,C63-$F$8+1)/4))*F63</f>
        <v>426643.71662943577</v>
      </c>
      <c r="Y63" s="63">
        <f>$F$21*IF(C63&lt;$F$8,$F$12,$G$12)*IF($F$28="risk",P63*F63,IF($F$28="policies IF",F63/($F$7*4),1/($F$7*4)))</f>
        <v>106395.93101285727</v>
      </c>
      <c r="Z63" s="63">
        <v>0</v>
      </c>
      <c r="AA63" s="63">
        <f t="shared" ref="AA63:AA74" ca="1" si="31">IF($F$25="no",0,1)*(F63-F62)*OFFSET(W63,-IF($F$22="single",C63,IF($F$22="annual",MOD(C63,4),IF($F$22="semi-ann",MOD(C63,2),0))),0)*IF($F$22="single",($F$7*4-C63)/($F$7*4),IF(AND($F$22="annual",MOD(C63,4)&lt;&gt;0),(4-MOD(C63,4))/4,IF(AND($F$22="semi-ann",MOD(C63,2)&lt;&gt;0),0.5,0)))</f>
        <v>0</v>
      </c>
      <c r="AB63" s="64">
        <f t="shared" ref="AB63:AB74" ca="1" si="32">SUM(W63:AA63)</f>
        <v>-176266.55911008883</v>
      </c>
      <c r="AC63" s="51"/>
      <c r="AD63" s="51">
        <f t="shared" si="25"/>
        <v>-705803.35300726898</v>
      </c>
      <c r="AE63" s="64">
        <f t="shared" ref="AE63:AE74" si="33">X63*$D63</f>
        <v>424536.76969114959</v>
      </c>
      <c r="AF63" s="64">
        <f t="shared" ref="AF63:AF74" si="34">Y63*$D63</f>
        <v>105870.50295109033</v>
      </c>
      <c r="AG63" s="51">
        <f t="shared" si="26"/>
        <v>0</v>
      </c>
      <c r="AH63" s="64">
        <f t="shared" ref="AH63:AH74" ca="1" si="35">AA63*$D63</f>
        <v>0</v>
      </c>
      <c r="AI63" s="64">
        <f t="shared" ref="AI63:AI74" ca="1" si="36">SUM(AD63:AH63)</f>
        <v>-175396.08036502905</v>
      </c>
      <c r="AJ63" s="57"/>
      <c r="AK63" s="51">
        <f ca="1">SUM(AD63:AD$74,AG63:AG$74)/D63+SUM(AE64:AF$75,AH64:AH$74)/D63</f>
        <v>-2229050.5588804102</v>
      </c>
      <c r="AL63" s="51">
        <f>SUM(AE64:$AF$75)*$G$14/D63</f>
        <v>128801.45548434902</v>
      </c>
      <c r="AM63" s="51"/>
      <c r="AN63" s="51">
        <f ca="1">-SUM(AD63:$AD$75,AH63:$AH$75)/D63</f>
        <v>6522432.4083587108</v>
      </c>
      <c r="AO63" s="51">
        <f ca="1">-SUM(W63:$W$75,AA63:$AA$75)</f>
        <v>6679240.0609883014</v>
      </c>
      <c r="AQ63" s="9">
        <f t="shared" ca="1" si="27"/>
        <v>-502863.00868064305</v>
      </c>
      <c r="AR63" s="9">
        <f t="shared" si="28"/>
        <v>-78173.789425880241</v>
      </c>
      <c r="AS63" s="9">
        <f t="shared" ca="1" si="29"/>
        <v>656739.95995435864</v>
      </c>
    </row>
    <row r="64" spans="1:45" outlineLevel="1" x14ac:dyDescent="0.55000000000000004">
      <c r="A64" s="9"/>
      <c r="B64" s="1" t="s">
        <v>7</v>
      </c>
      <c r="C64" s="3">
        <v>2</v>
      </c>
      <c r="D64" s="87">
        <f t="shared" ref="D64:D74" si="37">D63/(1+$F$17)^(1/4)</f>
        <v>0.99014754297667418</v>
      </c>
      <c r="E64" s="4"/>
      <c r="F64" s="84">
        <f t="shared" si="30"/>
        <v>0.89442719099991586</v>
      </c>
      <c r="G64" s="84">
        <f t="shared" ref="G64:G74" si="38">AVERAGE(F63:F64)</f>
        <v>0.92008440000154579</v>
      </c>
      <c r="H64" s="154">
        <f t="shared" ref="H64:H74" si="39">F64*D64</f>
        <v>0.88561488554009515</v>
      </c>
      <c r="I64" s="4"/>
      <c r="J64" s="98">
        <v>1</v>
      </c>
      <c r="K64" s="94">
        <f t="shared" ref="K64:K74" si="40">J64/$J$77</f>
        <v>8.3333333333333329E-2</v>
      </c>
      <c r="L64" s="47">
        <f t="shared" ref="L64:L74" si="41">J64*G64</f>
        <v>0.92008440000154579</v>
      </c>
      <c r="M64" s="47">
        <f t="shared" ref="M64:M74" si="42">L64*D64</f>
        <v>0.91101930799269804</v>
      </c>
      <c r="N64" s="4"/>
      <c r="O64" s="98">
        <v>1</v>
      </c>
      <c r="P64" s="94">
        <f t="shared" ref="P64:P74" si="43">O64/$O$77</f>
        <v>8.3333333333333329E-2</v>
      </c>
      <c r="Q64" s="155">
        <f t="shared" ref="Q64:Q74" si="44">O64*G64</f>
        <v>0.92008440000154579</v>
      </c>
      <c r="R64" s="155">
        <f t="shared" ref="R64:R74" si="45">Q64*D64</f>
        <v>0.91101930799269804</v>
      </c>
      <c r="S64" s="51"/>
      <c r="T64" s="138">
        <v>0.17818906429460918</v>
      </c>
      <c r="U64" s="136">
        <f t="shared" ref="U64:U74" si="46">T64/$T$77</f>
        <v>0.17818906429460918</v>
      </c>
      <c r="W64" s="63">
        <f t="shared" si="24"/>
        <v>-670820.39324993687</v>
      </c>
      <c r="X64" s="63">
        <f t="shared" ref="X64:X74" si="47">$F$21*IF(C64&lt;$F$8,$F$11,$G$11)*P64*((1+$F$18)^(MIN($F$8-1,C64)/4))*((1+$G$18)^(MAX(0,C64-$F$8+1)/4))*F64</f>
        <v>404499.69097639614</v>
      </c>
      <c r="Y64" s="63">
        <f t="shared" ref="Y64:Y74" si="48">$F$21*IF(C64&lt;$F$8,$F$12,$G$12)*IF($F$28="risk",P64*F64,IF($F$28="policies IF",F64/($F$7*4),1/($F$7*4)))</f>
        <v>100623.05898749053</v>
      </c>
      <c r="Z64" s="63">
        <v>0</v>
      </c>
      <c r="AA64" s="63">
        <f t="shared" ca="1" si="31"/>
        <v>0</v>
      </c>
      <c r="AB64" s="64">
        <f t="shared" ca="1" si="32"/>
        <v>-165697.64328605018</v>
      </c>
      <c r="AC64" s="51"/>
      <c r="AD64" s="51">
        <f t="shared" si="25"/>
        <v>-664211.16415507137</v>
      </c>
      <c r="AE64" s="64">
        <f t="shared" si="33"/>
        <v>400514.37515510264</v>
      </c>
      <c r="AF64" s="64">
        <f t="shared" si="34"/>
        <v>99631.674623260697</v>
      </c>
      <c r="AG64" s="51">
        <f t="shared" si="26"/>
        <v>0</v>
      </c>
      <c r="AH64" s="64">
        <f t="shared" ca="1" si="35"/>
        <v>0</v>
      </c>
      <c r="AI64" s="64">
        <f t="shared" ca="1" si="36"/>
        <v>-164065.11437670805</v>
      </c>
      <c r="AJ64" s="57"/>
      <c r="AK64" s="51">
        <f ca="1">SUM(AD64:AD$74,AG64:AG$74)/D64+SUM(AE65:AF$75,AH65:AH$74)/D64</f>
        <v>-2032409.4893202884</v>
      </c>
      <c r="AL64" s="51">
        <f>SUM(AE65:$AF$75)*$G$14/D64</f>
        <v>114287.00579553031</v>
      </c>
      <c r="AM64" s="51"/>
      <c r="AN64" s="51">
        <f ca="1">-SUM(AD64:$AD$75,AH64:$AH$75)/D64</f>
        <v>5841976.3491712986</v>
      </c>
      <c r="AO64" s="51">
        <f ca="1">-SUM(W64:$W$75,AA64:$AA$75)</f>
        <v>5969933.8542359192</v>
      </c>
      <c r="AQ64" s="9">
        <f t="shared" ca="1" si="27"/>
        <v>-855059.04874303192</v>
      </c>
      <c r="AR64" s="9">
        <f t="shared" si="28"/>
        <v>-85944.323862321849</v>
      </c>
      <c r="AS64" s="9">
        <f t="shared" ca="1" si="29"/>
        <v>659999.31543699931</v>
      </c>
    </row>
    <row r="65" spans="1:45" outlineLevel="1" x14ac:dyDescent="0.55000000000000004">
      <c r="A65" s="9"/>
      <c r="B65" s="1" t="s">
        <v>8</v>
      </c>
      <c r="C65" s="3">
        <v>3</v>
      </c>
      <c r="D65" s="87">
        <f t="shared" si="37"/>
        <v>0.98525777605216036</v>
      </c>
      <c r="E65" s="4"/>
      <c r="F65" s="84">
        <f t="shared" si="30"/>
        <v>0.84589701075245127</v>
      </c>
      <c r="G65" s="84">
        <f t="shared" si="38"/>
        <v>0.87016210087618351</v>
      </c>
      <c r="H65" s="154">
        <f t="shared" si="39"/>
        <v>0.83342660758313047</v>
      </c>
      <c r="I65" s="4"/>
      <c r="J65" s="98">
        <v>1</v>
      </c>
      <c r="K65" s="94">
        <f t="shared" si="40"/>
        <v>8.3333333333333329E-2</v>
      </c>
      <c r="L65" s="47">
        <f t="shared" si="41"/>
        <v>0.87016210087618351</v>
      </c>
      <c r="M65" s="47">
        <f t="shared" si="42"/>
        <v>0.85733397631414421</v>
      </c>
      <c r="N65" s="4"/>
      <c r="O65" s="98">
        <v>1</v>
      </c>
      <c r="P65" s="94">
        <f t="shared" si="43"/>
        <v>8.3333333333333329E-2</v>
      </c>
      <c r="Q65" s="155">
        <f t="shared" si="44"/>
        <v>0.87016210087618351</v>
      </c>
      <c r="R65" s="155">
        <f t="shared" si="45"/>
        <v>0.85733397631414421</v>
      </c>
      <c r="S65" s="51"/>
      <c r="T65" s="138">
        <v>0.20194032380116383</v>
      </c>
      <c r="U65" s="136">
        <f t="shared" si="46"/>
        <v>0.20194032380116383</v>
      </c>
      <c r="W65" s="63">
        <f t="shared" si="24"/>
        <v>-634422.75806433847</v>
      </c>
      <c r="X65" s="63">
        <f t="shared" si="47"/>
        <v>383505.00340806198</v>
      </c>
      <c r="Y65" s="63">
        <f t="shared" si="48"/>
        <v>95163.413709650762</v>
      </c>
      <c r="Z65" s="63">
        <v>0</v>
      </c>
      <c r="AA65" s="63">
        <f t="shared" ca="1" si="31"/>
        <v>0</v>
      </c>
      <c r="AB65" s="64">
        <f t="shared" ca="1" si="32"/>
        <v>-155754.34094662574</v>
      </c>
      <c r="AC65" s="51"/>
      <c r="AD65" s="51">
        <f t="shared" si="25"/>
        <v>-625069.95568734792</v>
      </c>
      <c r="AE65" s="64">
        <f t="shared" si="33"/>
        <v>377851.28676270333</v>
      </c>
      <c r="AF65" s="64">
        <f t="shared" si="34"/>
        <v>93760.493353102182</v>
      </c>
      <c r="AG65" s="51">
        <f t="shared" si="26"/>
        <v>0</v>
      </c>
      <c r="AH65" s="64">
        <f t="shared" ca="1" si="35"/>
        <v>0</v>
      </c>
      <c r="AI65" s="64">
        <f t="shared" ca="1" si="36"/>
        <v>-153458.17557154241</v>
      </c>
      <c r="AJ65" s="57"/>
      <c r="AK65" s="51">
        <f ca="1">SUM(AD65:AD$74,AG65:AG$74)/D65+SUM(AE66:AF$75,AH66:AH$74)/D65</f>
        <v>-1847014.9867026815</v>
      </c>
      <c r="AL65" s="51">
        <f>SUM(AE66:$AF$75)*$G$14/D65</f>
        <v>100494.15187146848</v>
      </c>
      <c r="AM65" s="51"/>
      <c r="AN65" s="51">
        <f ca="1">-SUM(AD65:$AD$75,AH65:$AH$75)/D65</f>
        <v>5196820.0490849642</v>
      </c>
      <c r="AO65" s="51">
        <f ca="1">-SUM(W65:$W$75,AA65:$AA$75)</f>
        <v>5299113.4609859819</v>
      </c>
      <c r="AQ65" s="9">
        <f t="shared" ca="1" si="27"/>
        <v>-1117047.1805871469</v>
      </c>
      <c r="AR65" s="9">
        <f t="shared" si="28"/>
        <v>-89684.717933109219</v>
      </c>
      <c r="AS65" s="9">
        <f t="shared" ca="1" si="29"/>
        <v>663274.84687787574</v>
      </c>
    </row>
    <row r="66" spans="1:45" outlineLevel="1" x14ac:dyDescent="0.55000000000000004">
      <c r="A66" s="9"/>
      <c r="B66" s="1" t="s">
        <v>9</v>
      </c>
      <c r="C66" s="3">
        <v>4</v>
      </c>
      <c r="D66" s="87">
        <f t="shared" si="37"/>
        <v>0.98039215686274483</v>
      </c>
      <c r="E66" s="4"/>
      <c r="F66" s="84">
        <f t="shared" si="30"/>
        <v>0.8</v>
      </c>
      <c r="G66" s="84">
        <f t="shared" si="38"/>
        <v>0.82294850537622566</v>
      </c>
      <c r="H66" s="154">
        <f t="shared" si="39"/>
        <v>0.78431372549019596</v>
      </c>
      <c r="I66" s="4"/>
      <c r="J66" s="98">
        <v>1</v>
      </c>
      <c r="K66" s="94">
        <f t="shared" si="40"/>
        <v>8.3333333333333329E-2</v>
      </c>
      <c r="L66" s="47">
        <f t="shared" si="41"/>
        <v>0.82294850537622566</v>
      </c>
      <c r="M66" s="47">
        <f t="shared" si="42"/>
        <v>0.80681226017277008</v>
      </c>
      <c r="N66" s="4"/>
      <c r="O66" s="98">
        <v>1</v>
      </c>
      <c r="P66" s="94">
        <f t="shared" si="43"/>
        <v>8.3333333333333329E-2</v>
      </c>
      <c r="Q66" s="155">
        <f t="shared" si="44"/>
        <v>0.82294850537622566</v>
      </c>
      <c r="R66" s="155">
        <f t="shared" si="45"/>
        <v>0.80681226017277008</v>
      </c>
      <c r="S66" s="51"/>
      <c r="T66" s="138">
        <v>0.20709640104961757</v>
      </c>
      <c r="U66" s="136">
        <f t="shared" si="46"/>
        <v>0.20709640104961757</v>
      </c>
      <c r="W66" s="63">
        <f t="shared" si="24"/>
        <v>-600000</v>
      </c>
      <c r="X66" s="63">
        <f t="shared" si="47"/>
        <v>363600</v>
      </c>
      <c r="Y66" s="63">
        <f t="shared" si="48"/>
        <v>90000</v>
      </c>
      <c r="Z66" s="63">
        <v>0</v>
      </c>
      <c r="AA66" s="63">
        <f t="shared" ca="1" si="31"/>
        <v>0</v>
      </c>
      <c r="AB66" s="64">
        <f t="shared" ca="1" si="32"/>
        <v>-146400</v>
      </c>
      <c r="AC66" s="51"/>
      <c r="AD66" s="51">
        <f t="shared" si="25"/>
        <v>-588235.29411764687</v>
      </c>
      <c r="AE66" s="64">
        <f t="shared" si="33"/>
        <v>356470.58823529404</v>
      </c>
      <c r="AF66" s="64">
        <f t="shared" si="34"/>
        <v>88235.294117647034</v>
      </c>
      <c r="AG66" s="51">
        <f t="shared" si="26"/>
        <v>0</v>
      </c>
      <c r="AH66" s="64">
        <f t="shared" ca="1" si="35"/>
        <v>0</v>
      </c>
      <c r="AI66" s="64">
        <f t="shared" ca="1" si="36"/>
        <v>-143529.41176470579</v>
      </c>
      <c r="AJ66" s="57"/>
      <c r="AK66" s="51">
        <f ca="1">SUM(AD66:AD$74,AG66:AG$74)/D66+SUM(AE67:AF$75,AH67:AH$74)/D66</f>
        <v>-1672210.2408952741</v>
      </c>
      <c r="AL66" s="51">
        <f>SUM(AE67:$AF$75)*$G$14/D66</f>
        <v>87384.897470713739</v>
      </c>
      <c r="AM66" s="51"/>
      <c r="AN66" s="51">
        <f ca="1">-SUM(AD66:$AD$75,AH66:$AH$75)/D66</f>
        <v>4585040.1565857325</v>
      </c>
      <c r="AO66" s="51">
        <f ca="1">-SUM(W66:$W$75,AA66:$AA$75)</f>
        <v>4664690.7029216439</v>
      </c>
      <c r="AQ66" s="9">
        <f t="shared" ca="1" si="27"/>
        <v>-1297052.5477699786</v>
      </c>
      <c r="AR66" s="9">
        <f t="shared" si="28"/>
        <v>-89780.893974450242</v>
      </c>
      <c r="AS66" s="9">
        <f t="shared" ca="1" si="29"/>
        <v>666566.63455715775</v>
      </c>
    </row>
    <row r="67" spans="1:45" outlineLevel="1" x14ac:dyDescent="0.55000000000000004">
      <c r="A67" s="9"/>
      <c r="B67" s="1" t="s">
        <v>16</v>
      </c>
      <c r="C67" s="3">
        <v>5</v>
      </c>
      <c r="D67" s="87">
        <f t="shared" si="37"/>
        <v>0.97555056615670888</v>
      </c>
      <c r="E67" s="4"/>
      <c r="F67" s="84">
        <f t="shared" si="30"/>
        <v>0.75659328720254071</v>
      </c>
      <c r="G67" s="84">
        <f t="shared" si="38"/>
        <v>0.77829664360127038</v>
      </c>
      <c r="H67" s="154">
        <f t="shared" si="39"/>
        <v>0.73809500968080399</v>
      </c>
      <c r="I67" s="4"/>
      <c r="J67" s="98">
        <v>1</v>
      </c>
      <c r="K67" s="94">
        <f t="shared" si="40"/>
        <v>8.3333333333333329E-2</v>
      </c>
      <c r="L67" s="47">
        <f t="shared" si="41"/>
        <v>0.77829664360127038</v>
      </c>
      <c r="M67" s="47">
        <f t="shared" si="42"/>
        <v>0.75926773130308556</v>
      </c>
      <c r="N67" s="4"/>
      <c r="O67" s="98">
        <v>1</v>
      </c>
      <c r="P67" s="94">
        <f t="shared" si="43"/>
        <v>8.3333333333333329E-2</v>
      </c>
      <c r="Q67" s="155">
        <f t="shared" si="44"/>
        <v>0.77829664360127038</v>
      </c>
      <c r="R67" s="155">
        <f t="shared" si="45"/>
        <v>0.75926773130308556</v>
      </c>
      <c r="S67" s="51"/>
      <c r="T67" s="138">
        <v>8.3175297485096111E-2</v>
      </c>
      <c r="U67" s="136">
        <f t="shared" si="46"/>
        <v>8.3175297485096111E-2</v>
      </c>
      <c r="W67" s="63">
        <f t="shared" si="24"/>
        <v>-567444.96540190559</v>
      </c>
      <c r="X67" s="63">
        <f t="shared" si="47"/>
        <v>344728.12303658418</v>
      </c>
      <c r="Y67" s="63">
        <f t="shared" si="48"/>
        <v>85116.744810285833</v>
      </c>
      <c r="Z67" s="63">
        <v>0</v>
      </c>
      <c r="AA67" s="63">
        <f t="shared" ca="1" si="31"/>
        <v>0</v>
      </c>
      <c r="AB67" s="64">
        <f t="shared" ca="1" si="32"/>
        <v>-137600.09755503558</v>
      </c>
      <c r="AC67" s="51"/>
      <c r="AD67" s="51">
        <f t="shared" si="25"/>
        <v>-553571.25726060313</v>
      </c>
      <c r="AE67" s="64">
        <f t="shared" si="33"/>
        <v>336299.71559847926</v>
      </c>
      <c r="AF67" s="64">
        <f t="shared" si="34"/>
        <v>83035.688589090452</v>
      </c>
      <c r="AG67" s="51">
        <f t="shared" si="26"/>
        <v>0</v>
      </c>
      <c r="AH67" s="64">
        <f t="shared" ca="1" si="35"/>
        <v>0</v>
      </c>
      <c r="AI67" s="64">
        <f t="shared" ca="1" si="36"/>
        <v>-134235.85307303342</v>
      </c>
      <c r="AJ67" s="57"/>
      <c r="AK67" s="51">
        <f ca="1">SUM(AD67:AD$74,AG67:AG$74)/D67+SUM(AE68:AF$75,AH68:AH$74)/D67</f>
        <v>-1507376.414799795</v>
      </c>
      <c r="AL67" s="51">
        <f>SUM(AE68:$AF$75)*$G$14/D67</f>
        <v>74923.236701986214</v>
      </c>
      <c r="AM67" s="51"/>
      <c r="AN67" s="51">
        <f ca="1">-SUM(AD67:$AD$75,AH67:$AH$75)/D67</f>
        <v>4004817.6381993359</v>
      </c>
      <c r="AO67" s="51">
        <f ca="1">-SUM(W67:$W$75,AA67:$AA$75)</f>
        <v>4064690.7029216439</v>
      </c>
      <c r="AQ67" s="9">
        <f t="shared" ca="1" si="27"/>
        <v>-1402684.7003145334</v>
      </c>
      <c r="AR67" s="9">
        <f t="shared" si="28"/>
        <v>-86589.321526045285</v>
      </c>
      <c r="AS67" s="9">
        <f t="shared" ca="1" si="29"/>
        <v>669874.75915344479</v>
      </c>
    </row>
    <row r="68" spans="1:45" outlineLevel="1" x14ac:dyDescent="0.55000000000000004">
      <c r="A68" s="9"/>
      <c r="B68" s="1" t="s">
        <v>17</v>
      </c>
      <c r="C68" s="3">
        <v>6</v>
      </c>
      <c r="D68" s="87">
        <f t="shared" si="37"/>
        <v>0.9707328852712489</v>
      </c>
      <c r="E68" s="4"/>
      <c r="F68" s="84">
        <f t="shared" si="30"/>
        <v>0.71554175279993271</v>
      </c>
      <c r="G68" s="84">
        <f t="shared" si="38"/>
        <v>0.73606752000123676</v>
      </c>
      <c r="H68" s="154">
        <f t="shared" si="39"/>
        <v>0.69459991022752543</v>
      </c>
      <c r="I68" s="4"/>
      <c r="J68" s="98">
        <v>1</v>
      </c>
      <c r="K68" s="94">
        <f t="shared" si="40"/>
        <v>8.3333333333333329E-2</v>
      </c>
      <c r="L68" s="47">
        <f t="shared" si="41"/>
        <v>0.73606752000123676</v>
      </c>
      <c r="M68" s="47">
        <f t="shared" si="42"/>
        <v>0.7145249474452533</v>
      </c>
      <c r="N68" s="4"/>
      <c r="O68" s="98">
        <v>1</v>
      </c>
      <c r="P68" s="94">
        <f t="shared" si="43"/>
        <v>8.3333333333333329E-2</v>
      </c>
      <c r="Q68" s="155">
        <f t="shared" si="44"/>
        <v>0.73606752000123676</v>
      </c>
      <c r="R68" s="155">
        <f t="shared" si="45"/>
        <v>0.7145249474452533</v>
      </c>
      <c r="S68" s="51"/>
      <c r="T68" s="138">
        <v>5.1890782453176132E-2</v>
      </c>
      <c r="U68" s="136">
        <f t="shared" si="46"/>
        <v>5.1890782453176132E-2</v>
      </c>
      <c r="W68" s="63">
        <f t="shared" si="24"/>
        <v>-536656.31459994952</v>
      </c>
      <c r="X68" s="63">
        <f t="shared" si="47"/>
        <v>326835.75030892808</v>
      </c>
      <c r="Y68" s="63">
        <f t="shared" si="48"/>
        <v>80498.447189992425</v>
      </c>
      <c r="Z68" s="63">
        <v>0</v>
      </c>
      <c r="AA68" s="63">
        <f t="shared" ca="1" si="31"/>
        <v>0</v>
      </c>
      <c r="AB68" s="64">
        <f t="shared" ca="1" si="32"/>
        <v>-129322.11710102901</v>
      </c>
      <c r="AC68" s="51"/>
      <c r="AD68" s="51">
        <f t="shared" si="25"/>
        <v>-520949.93267064408</v>
      </c>
      <c r="AE68" s="64">
        <f t="shared" si="33"/>
        <v>317270.21090717922</v>
      </c>
      <c r="AF68" s="64">
        <f t="shared" si="34"/>
        <v>78142.4899005966</v>
      </c>
      <c r="AG68" s="51">
        <f t="shared" si="26"/>
        <v>0</v>
      </c>
      <c r="AH68" s="64">
        <f t="shared" ca="1" si="35"/>
        <v>0</v>
      </c>
      <c r="AI68" s="64">
        <f t="shared" ca="1" si="36"/>
        <v>-125537.23186286826</v>
      </c>
      <c r="AJ68" s="57"/>
      <c r="AK68" s="51">
        <f ca="1">SUM(AD68:AD$74,AG68:AG$74)/D68+SUM(AE69:AF$75,AH69:AH$74)/D68</f>
        <v>-1351930.4623636743</v>
      </c>
      <c r="AL68" s="51">
        <f>SUM(AE69:$AF$75)*$G$14/D68</f>
        <v>63075.049674013528</v>
      </c>
      <c r="AM68" s="51"/>
      <c r="AN68" s="51">
        <f ca="1">-SUM(AD68:$AD$75,AH68:$AH$75)/D68</f>
        <v>3454432.1181641254</v>
      </c>
      <c r="AO68" s="51">
        <f ca="1">-SUM(W68:$W$75,AA68:$AA$75)</f>
        <v>3497245.7375197383</v>
      </c>
      <c r="AQ68" s="9">
        <f t="shared" ca="1" si="27"/>
        <v>-1440979.5283085844</v>
      </c>
      <c r="AR68" s="9">
        <f t="shared" si="28"/>
        <v>-80439.044444151266</v>
      </c>
      <c r="AS68" s="9">
        <f t="shared" ca="1" si="29"/>
        <v>673199.30174573977</v>
      </c>
    </row>
    <row r="69" spans="1:45" outlineLevel="1" x14ac:dyDescent="0.55000000000000004">
      <c r="A69" s="9"/>
      <c r="B69" s="1" t="s">
        <v>18</v>
      </c>
      <c r="C69" s="3">
        <v>7</v>
      </c>
      <c r="D69" s="87">
        <f t="shared" si="37"/>
        <v>0.96593899612956868</v>
      </c>
      <c r="E69" s="4"/>
      <c r="F69" s="84">
        <f t="shared" si="30"/>
        <v>0.83161897782507621</v>
      </c>
      <c r="G69" s="84">
        <f t="shared" si="38"/>
        <v>0.7735803653125044</v>
      </c>
      <c r="H69" s="154">
        <f t="shared" si="39"/>
        <v>0.80329320060265219</v>
      </c>
      <c r="I69" s="4"/>
      <c r="J69" s="98">
        <v>1</v>
      </c>
      <c r="K69" s="94">
        <f t="shared" si="40"/>
        <v>8.3333333333333329E-2</v>
      </c>
      <c r="L69" s="47">
        <f t="shared" si="41"/>
        <v>0.7735803653125044</v>
      </c>
      <c r="M69" s="47">
        <f t="shared" si="42"/>
        <v>0.74723144149550547</v>
      </c>
      <c r="N69" s="4"/>
      <c r="O69" s="98">
        <v>1</v>
      </c>
      <c r="P69" s="94">
        <f t="shared" si="43"/>
        <v>8.3333333333333329E-2</v>
      </c>
      <c r="Q69" s="155">
        <f t="shared" si="44"/>
        <v>0.7735803653125044</v>
      </c>
      <c r="R69" s="155">
        <f t="shared" si="45"/>
        <v>0.74723144149550547</v>
      </c>
      <c r="S69" s="51"/>
      <c r="T69" s="138">
        <v>2.7830892374108518E-2</v>
      </c>
      <c r="U69" s="136">
        <f t="shared" si="46"/>
        <v>2.7830892374108518E-2</v>
      </c>
      <c r="W69" s="63">
        <f t="shared" si="24"/>
        <v>-623714.23336880712</v>
      </c>
      <c r="X69" s="63">
        <f t="shared" si="47"/>
        <v>316941.59221930109</v>
      </c>
      <c r="Y69" s="63">
        <f t="shared" si="48"/>
        <v>62371.423336880711</v>
      </c>
      <c r="Z69" s="63">
        <v>0</v>
      </c>
      <c r="AA69" s="63">
        <f t="shared" ca="1" si="31"/>
        <v>0</v>
      </c>
      <c r="AB69" s="64">
        <f t="shared" ca="1" si="32"/>
        <v>-244401.21781262531</v>
      </c>
      <c r="AC69" s="51"/>
      <c r="AD69" s="51">
        <f t="shared" si="25"/>
        <v>-602469.90045198903</v>
      </c>
      <c r="AE69" s="64">
        <f t="shared" si="33"/>
        <v>306146.24342001881</v>
      </c>
      <c r="AF69" s="64">
        <f t="shared" si="34"/>
        <v>60246.990045198909</v>
      </c>
      <c r="AG69" s="51">
        <f t="shared" si="26"/>
        <v>0</v>
      </c>
      <c r="AH69" s="64">
        <f t="shared" ca="1" si="35"/>
        <v>0</v>
      </c>
      <c r="AI69" s="64">
        <f t="shared" ca="1" si="36"/>
        <v>-236076.66698677131</v>
      </c>
      <c r="AJ69" s="57"/>
      <c r="AK69" s="51">
        <f ca="1">SUM(AD69:AD$74,AG69:AG$74)/D69+SUM(AE70:AF$75,AH70:AH$74)/D69</f>
        <v>-1198633.3131286595</v>
      </c>
      <c r="AL69" s="51">
        <f>SUM(AE70:$AF$75)*$G$14/D69</f>
        <v>52008.696362836636</v>
      </c>
      <c r="AM69" s="51"/>
      <c r="AN69" s="51">
        <f ca="1">-SUM(AD69:$AD$75,AH69:$AH$75)/D69</f>
        <v>2932256.5252232142</v>
      </c>
      <c r="AO69" s="51">
        <f ca="1">-SUM(W69:$W$75,AA69:$AA$75)</f>
        <v>2960589.4229197884</v>
      </c>
      <c r="AQ69" s="9">
        <f t="shared" ca="1" si="27"/>
        <v>-1411748.731885219</v>
      </c>
      <c r="AR69" s="9">
        <f t="shared" si="28"/>
        <v>-71432.883645380425</v>
      </c>
      <c r="AS69" s="9">
        <f t="shared" ca="1" si="29"/>
        <v>676540.34381543286</v>
      </c>
    </row>
    <row r="70" spans="1:45" outlineLevel="1" x14ac:dyDescent="0.55000000000000004">
      <c r="A70" s="9"/>
      <c r="B70" s="1" t="s">
        <v>19</v>
      </c>
      <c r="C70" s="3">
        <v>8</v>
      </c>
      <c r="D70" s="87">
        <f t="shared" si="37"/>
        <v>0.96116878123798488</v>
      </c>
      <c r="E70" s="4"/>
      <c r="F70" s="84">
        <f t="shared" si="30"/>
        <v>0.81</v>
      </c>
      <c r="G70" s="84">
        <f t="shared" si="38"/>
        <v>0.82080948891253813</v>
      </c>
      <c r="H70" s="154">
        <f t="shared" si="39"/>
        <v>0.77854671280276777</v>
      </c>
      <c r="I70" s="4"/>
      <c r="J70" s="98">
        <v>1</v>
      </c>
      <c r="K70" s="94">
        <f t="shared" si="40"/>
        <v>8.3333333333333329E-2</v>
      </c>
      <c r="L70" s="47">
        <f t="shared" si="41"/>
        <v>0.82080948891253813</v>
      </c>
      <c r="M70" s="47">
        <f t="shared" si="42"/>
        <v>0.78893645608663754</v>
      </c>
      <c r="N70" s="4"/>
      <c r="O70" s="98">
        <v>1</v>
      </c>
      <c r="P70" s="94">
        <f t="shared" si="43"/>
        <v>8.3333333333333329E-2</v>
      </c>
      <c r="Q70" s="155">
        <f t="shared" si="44"/>
        <v>0.82080948891253813</v>
      </c>
      <c r="R70" s="155">
        <f t="shared" si="45"/>
        <v>0.78893645608663754</v>
      </c>
      <c r="S70" s="51"/>
      <c r="T70" s="138">
        <v>1.5225286106495761E-2</v>
      </c>
      <c r="U70" s="136">
        <f t="shared" si="46"/>
        <v>1.5225286106495761E-2</v>
      </c>
      <c r="W70" s="63">
        <f t="shared" si="24"/>
        <v>-607500</v>
      </c>
      <c r="X70" s="63">
        <f t="shared" si="47"/>
        <v>309087.45467440371</v>
      </c>
      <c r="Y70" s="63">
        <f t="shared" si="48"/>
        <v>60750.000000000007</v>
      </c>
      <c r="Z70" s="63">
        <v>0</v>
      </c>
      <c r="AA70" s="63">
        <f t="shared" ca="1" si="31"/>
        <v>0</v>
      </c>
      <c r="AB70" s="64">
        <f t="shared" ca="1" si="32"/>
        <v>-237662.54532559629</v>
      </c>
      <c r="AC70" s="51"/>
      <c r="AD70" s="51">
        <f t="shared" si="25"/>
        <v>-583910.03460207582</v>
      </c>
      <c r="AE70" s="64">
        <f t="shared" si="33"/>
        <v>297085.21210534748</v>
      </c>
      <c r="AF70" s="64">
        <f t="shared" si="34"/>
        <v>58391.00346020759</v>
      </c>
      <c r="AG70" s="51">
        <f t="shared" si="26"/>
        <v>0</v>
      </c>
      <c r="AH70" s="64">
        <f t="shared" ca="1" si="35"/>
        <v>0</v>
      </c>
      <c r="AI70" s="64">
        <f t="shared" ca="1" si="36"/>
        <v>-228433.81903652073</v>
      </c>
      <c r="AJ70" s="57"/>
      <c r="AK70" s="51">
        <f ca="1">SUM(AD70:AD$74,AG70:AG$74)/D70+SUM(AE71:AF$75,AH71:AH$74)/D70</f>
        <v>-947609.81848723372</v>
      </c>
      <c r="AL70" s="51">
        <f>SUM(AE71:$AF$75)*$G$14/D70</f>
        <v>41171.688323864822</v>
      </c>
      <c r="AM70" s="51"/>
      <c r="AN70" s="51">
        <f ca="1">-SUM(AD70:$AD$75,AH70:$AH$75)/D70</f>
        <v>2319999.4292827277</v>
      </c>
      <c r="AO70" s="51">
        <f ca="1">-SUM(W70:$W$75,AA70:$AA$75)</f>
        <v>2336875.1895509819</v>
      </c>
      <c r="AQ70" s="9">
        <f t="shared" ca="1" si="27"/>
        <v>-1221638.3983251527</v>
      </c>
      <c r="AR70" s="9">
        <f t="shared" si="28"/>
        <v>-60372.443799221182</v>
      </c>
      <c r="AS70" s="9">
        <f t="shared" ca="1" si="29"/>
        <v>563145.36665892671</v>
      </c>
    </row>
    <row r="71" spans="1:45" outlineLevel="1" x14ac:dyDescent="0.55000000000000004">
      <c r="A71" s="9"/>
      <c r="B71" s="1" t="s">
        <v>20</v>
      </c>
      <c r="C71" s="3">
        <v>9</v>
      </c>
      <c r="D71" s="87">
        <f t="shared" si="37"/>
        <v>0.95642212368304769</v>
      </c>
      <c r="E71" s="4"/>
      <c r="F71" s="84">
        <f t="shared" si="30"/>
        <v>0.78894303460449045</v>
      </c>
      <c r="G71" s="84">
        <f t="shared" si="38"/>
        <v>0.7994715173022453</v>
      </c>
      <c r="H71" s="154">
        <f t="shared" si="39"/>
        <v>0.75456257262137494</v>
      </c>
      <c r="I71" s="4"/>
      <c r="J71" s="98">
        <v>1</v>
      </c>
      <c r="K71" s="94">
        <f t="shared" si="40"/>
        <v>8.3333333333333329E-2</v>
      </c>
      <c r="L71" s="47">
        <f t="shared" si="41"/>
        <v>0.7994715173022453</v>
      </c>
      <c r="M71" s="47">
        <f t="shared" si="42"/>
        <v>0.76463224640232186</v>
      </c>
      <c r="N71" s="4"/>
      <c r="O71" s="98">
        <v>1</v>
      </c>
      <c r="P71" s="94">
        <f t="shared" si="43"/>
        <v>8.3333333333333329E-2</v>
      </c>
      <c r="Q71" s="155">
        <f t="shared" si="44"/>
        <v>0.7994715173022453</v>
      </c>
      <c r="R71" s="155">
        <f t="shared" si="45"/>
        <v>0.76463224640232186</v>
      </c>
      <c r="S71" s="51"/>
      <c r="T71" s="138">
        <v>1.3868361840445591E-2</v>
      </c>
      <c r="U71" s="136">
        <f t="shared" si="46"/>
        <v>1.3868361840445591E-2</v>
      </c>
      <c r="W71" s="63">
        <f t="shared" si="24"/>
        <v>-591707.27595336782</v>
      </c>
      <c r="X71" s="63">
        <f t="shared" si="47"/>
        <v>301427.95070896874</v>
      </c>
      <c r="Y71" s="63">
        <f t="shared" si="48"/>
        <v>59170.727595336772</v>
      </c>
      <c r="Z71" s="63">
        <v>0</v>
      </c>
      <c r="AA71" s="63">
        <f t="shared" ca="1" si="31"/>
        <v>0</v>
      </c>
      <c r="AB71" s="64">
        <f t="shared" ca="1" si="32"/>
        <v>-231108.59764906231</v>
      </c>
      <c r="AC71" s="51"/>
      <c r="AD71" s="51">
        <f t="shared" si="25"/>
        <v>-565921.92946603114</v>
      </c>
      <c r="AE71" s="64">
        <f t="shared" si="33"/>
        <v>288292.3607545009</v>
      </c>
      <c r="AF71" s="64">
        <f t="shared" si="34"/>
        <v>56592.192946603107</v>
      </c>
      <c r="AG71" s="51">
        <f t="shared" si="26"/>
        <v>0</v>
      </c>
      <c r="AH71" s="64">
        <f t="shared" ca="1" si="35"/>
        <v>0</v>
      </c>
      <c r="AI71" s="64">
        <f t="shared" ca="1" si="36"/>
        <v>-221037.37576492713</v>
      </c>
      <c r="AJ71" s="57"/>
      <c r="AK71" s="51">
        <f ca="1">SUM(AD71:AD$74,AG71:AG$74)/D71+SUM(AE72:AF$75,AH72:AH$74)/D71</f>
        <v>-702396.43854806642</v>
      </c>
      <c r="AL71" s="51">
        <f>SUM(AE72:$AF$75)*$G$14/D71</f>
        <v>30558.06024664026</v>
      </c>
      <c r="AM71" s="51"/>
      <c r="AN71" s="51">
        <f ca="1">-SUM(AD71:$AD$75,AH71:$AH$75)/D71</f>
        <v>1720998.4467694084</v>
      </c>
      <c r="AO71" s="51">
        <f ca="1">-SUM(W71:$W$75,AA71:$AA$75)</f>
        <v>1729375.1895509816</v>
      </c>
      <c r="AQ71" s="9">
        <f t="shared" ca="1" si="27"/>
        <v>-980212.83011563821</v>
      </c>
      <c r="AR71" s="9">
        <f t="shared" si="28"/>
        <v>-47492.309430016816</v>
      </c>
      <c r="AS71" s="9">
        <f t="shared" ca="1" si="29"/>
        <v>437807.44480383862</v>
      </c>
    </row>
    <row r="72" spans="1:45" outlineLevel="1" x14ac:dyDescent="0.55000000000000004">
      <c r="A72" s="9"/>
      <c r="B72" s="1" t="s">
        <v>21</v>
      </c>
      <c r="C72" s="3">
        <v>10</v>
      </c>
      <c r="D72" s="87">
        <f t="shared" si="37"/>
        <v>0.95169890712867522</v>
      </c>
      <c r="E72" s="4"/>
      <c r="F72" s="84">
        <f t="shared" si="30"/>
        <v>0.76843347142091623</v>
      </c>
      <c r="G72" s="84">
        <f t="shared" si="38"/>
        <v>0.77868825301270328</v>
      </c>
      <c r="H72" s="154">
        <f t="shared" si="39"/>
        <v>0.73131729495238007</v>
      </c>
      <c r="I72" s="4"/>
      <c r="J72" s="98">
        <v>1</v>
      </c>
      <c r="K72" s="94">
        <f t="shared" si="40"/>
        <v>8.3333333333333329E-2</v>
      </c>
      <c r="L72" s="47">
        <f t="shared" si="41"/>
        <v>0.77868825301270328</v>
      </c>
      <c r="M72" s="47">
        <f t="shared" si="42"/>
        <v>0.74107675938612705</v>
      </c>
      <c r="N72" s="4"/>
      <c r="O72" s="98">
        <v>1</v>
      </c>
      <c r="P72" s="94">
        <f t="shared" si="43"/>
        <v>8.3333333333333329E-2</v>
      </c>
      <c r="Q72" s="155">
        <f t="shared" si="44"/>
        <v>0.77868825301270328</v>
      </c>
      <c r="R72" s="155">
        <f t="shared" si="45"/>
        <v>0.74107675938612705</v>
      </c>
      <c r="S72" s="51"/>
      <c r="T72" s="138">
        <v>5.0809898881113407E-3</v>
      </c>
      <c r="U72" s="136">
        <f t="shared" si="46"/>
        <v>5.0809898881113407E-3</v>
      </c>
      <c r="W72" s="63">
        <f t="shared" si="24"/>
        <v>-576325.1035656872</v>
      </c>
      <c r="X72" s="63">
        <f t="shared" si="47"/>
        <v>293958.25710338255</v>
      </c>
      <c r="Y72" s="63">
        <f t="shared" si="48"/>
        <v>57632.510356568717</v>
      </c>
      <c r="Z72" s="63">
        <v>0</v>
      </c>
      <c r="AA72" s="63">
        <f t="shared" ca="1" si="31"/>
        <v>0</v>
      </c>
      <c r="AB72" s="64">
        <f t="shared" ca="1" si="32"/>
        <v>-224734.33610573591</v>
      </c>
      <c r="AC72" s="51"/>
      <c r="AD72" s="51">
        <f t="shared" si="25"/>
        <v>-548487.97121428512</v>
      </c>
      <c r="AE72" s="64">
        <f t="shared" si="33"/>
        <v>279759.7520267393</v>
      </c>
      <c r="AF72" s="64">
        <f t="shared" si="34"/>
        <v>54848.797121428506</v>
      </c>
      <c r="AG72" s="51">
        <f t="shared" si="26"/>
        <v>0</v>
      </c>
      <c r="AH72" s="64">
        <f t="shared" ca="1" si="35"/>
        <v>0</v>
      </c>
      <c r="AI72" s="64">
        <f t="shared" ca="1" si="36"/>
        <v>-213879.42206611732</v>
      </c>
      <c r="AJ72" s="57"/>
      <c r="AK72" s="51">
        <f ca="1">SUM(AD72:AD$74,AG72:AG$74)/D72+SUM(AE73:AF$75,AH73:AH$74)/D72</f>
        <v>-462829.27279450255</v>
      </c>
      <c r="AL72" s="51">
        <f>SUM(AE73:$AF$75)*$G$14/D72</f>
        <v>20161.994784855637</v>
      </c>
      <c r="AM72" s="51"/>
      <c r="AN72" s="51">
        <f ca="1">-SUM(AD72:$AD$75,AH72:$AH$75)/D72</f>
        <v>1134895.765623024</v>
      </c>
      <c r="AO72" s="51">
        <f ca="1">-SUM(W72:$W$75,AA72:$AA$75)</f>
        <v>1137667.9135976136</v>
      </c>
      <c r="AQ72" s="9">
        <f t="shared" ca="1" si="27"/>
        <v>-692876.38208103774</v>
      </c>
      <c r="AR72" s="9">
        <f t="shared" si="28"/>
        <v>-33007.883997184734</v>
      </c>
      <c r="AS72" s="9">
        <f t="shared" ca="1" si="29"/>
        <v>301545.29926875152</v>
      </c>
    </row>
    <row r="73" spans="1:45" outlineLevel="1" x14ac:dyDescent="0.55000000000000004">
      <c r="A73" s="9"/>
      <c r="B73" s="1" t="s">
        <v>22</v>
      </c>
      <c r="C73" s="3">
        <v>11</v>
      </c>
      <c r="D73" s="87">
        <f t="shared" si="37"/>
        <v>0.94699901581330248</v>
      </c>
      <c r="E73" s="4"/>
      <c r="F73" s="84">
        <f t="shared" si="30"/>
        <v>0.74845708004256861</v>
      </c>
      <c r="G73" s="84">
        <f t="shared" si="38"/>
        <v>0.75844527573174236</v>
      </c>
      <c r="H73" s="154">
        <f t="shared" si="39"/>
        <v>0.7087881181788106</v>
      </c>
      <c r="I73" s="4"/>
      <c r="J73" s="98">
        <v>1</v>
      </c>
      <c r="K73" s="94">
        <f t="shared" si="40"/>
        <v>8.3333333333333329E-2</v>
      </c>
      <c r="L73" s="47">
        <f t="shared" si="41"/>
        <v>0.75844527573174236</v>
      </c>
      <c r="M73" s="47">
        <f t="shared" si="42"/>
        <v>0.71824692966620884</v>
      </c>
      <c r="N73" s="4"/>
      <c r="O73" s="98">
        <v>1</v>
      </c>
      <c r="P73" s="94">
        <f t="shared" si="43"/>
        <v>8.3333333333333329E-2</v>
      </c>
      <c r="Q73" s="155">
        <f t="shared" si="44"/>
        <v>0.75844527573174236</v>
      </c>
      <c r="R73" s="155">
        <f t="shared" si="45"/>
        <v>0.71824692966620884</v>
      </c>
      <c r="S73" s="51"/>
      <c r="T73" s="138">
        <v>6.0769058883075608E-3</v>
      </c>
      <c r="U73" s="136">
        <f t="shared" si="46"/>
        <v>6.0769058883075608E-3</v>
      </c>
      <c r="W73" s="63">
        <f t="shared" si="24"/>
        <v>-561342.81003192649</v>
      </c>
      <c r="X73" s="63">
        <f t="shared" si="47"/>
        <v>286673.67016235786</v>
      </c>
      <c r="Y73" s="63">
        <f t="shared" si="48"/>
        <v>56134.281003192642</v>
      </c>
      <c r="Z73" s="63">
        <v>0</v>
      </c>
      <c r="AA73" s="63">
        <f t="shared" ca="1" si="31"/>
        <v>0</v>
      </c>
      <c r="AB73" s="64">
        <f t="shared" ca="1" si="32"/>
        <v>-218534.85886637599</v>
      </c>
      <c r="AC73" s="51"/>
      <c r="AD73" s="51">
        <f t="shared" si="25"/>
        <v>-531591.08863410796</v>
      </c>
      <c r="AE73" s="64">
        <f t="shared" si="33"/>
        <v>271479.68350334017</v>
      </c>
      <c r="AF73" s="64">
        <f t="shared" si="34"/>
        <v>53159.108863410795</v>
      </c>
      <c r="AG73" s="51">
        <f t="shared" si="26"/>
        <v>0</v>
      </c>
      <c r="AH73" s="64">
        <f t="shared" ca="1" si="35"/>
        <v>0</v>
      </c>
      <c r="AI73" s="64">
        <f t="shared" ca="1" si="36"/>
        <v>-206952.29626735699</v>
      </c>
      <c r="AJ73" s="57"/>
      <c r="AK73" s="51">
        <f ca="1">SUM(AD73:AD$74,AG73:AG$74)/D73+SUM(AE74:AF$75,AH74:AH$74)/D73</f>
        <v>-228748.84835240466</v>
      </c>
      <c r="AL73" s="51">
        <f>SUM(AE74:$AF$75)*$G$14/D73</f>
        <v>9977.8188503856545</v>
      </c>
      <c r="AM73" s="51"/>
      <c r="AN73" s="51">
        <f ca="1">-SUM(AD73:$AD$75,AH73:$AH$75)/D73</f>
        <v>561342.81003192649</v>
      </c>
      <c r="AO73" s="51">
        <f ca="1">-SUM(W73:$W$75,AA73:$AA$75)</f>
        <v>561342.81003192649</v>
      </c>
      <c r="AQ73" s="9">
        <f t="shared" ca="1" si="27"/>
        <v>-364609.86692567437</v>
      </c>
      <c r="AR73" s="9">
        <f t="shared" si="28"/>
        <v>-17116.760336336669</v>
      </c>
      <c r="AS73" s="9">
        <f t="shared" ca="1" si="29"/>
        <v>155312.24487074977</v>
      </c>
    </row>
    <row r="74" spans="1:45" outlineLevel="1" x14ac:dyDescent="0.55000000000000004">
      <c r="A74" s="9"/>
      <c r="B74" s="1" t="s">
        <v>23</v>
      </c>
      <c r="C74" s="3">
        <v>12</v>
      </c>
      <c r="D74" s="87">
        <f t="shared" si="37"/>
        <v>0.94232233454704384</v>
      </c>
      <c r="E74" s="4"/>
      <c r="F74" s="84">
        <f t="shared" si="30"/>
        <v>0.72900000000000009</v>
      </c>
      <c r="G74" s="84">
        <f t="shared" si="38"/>
        <v>0.73872854002128441</v>
      </c>
      <c r="H74" s="154">
        <f t="shared" si="39"/>
        <v>0.68695298188479503</v>
      </c>
      <c r="I74" s="4"/>
      <c r="J74" s="98">
        <v>1</v>
      </c>
      <c r="K74" s="94">
        <f t="shared" si="40"/>
        <v>8.3333333333333329E-2</v>
      </c>
      <c r="L74" s="47">
        <f t="shared" si="41"/>
        <v>0.73872854002128441</v>
      </c>
      <c r="M74" s="47">
        <f t="shared" si="42"/>
        <v>0.696120402429386</v>
      </c>
      <c r="N74" s="4"/>
      <c r="O74" s="98">
        <v>1</v>
      </c>
      <c r="P74" s="94">
        <f t="shared" si="43"/>
        <v>8.3333333333333329E-2</v>
      </c>
      <c r="Q74" s="155">
        <f t="shared" si="44"/>
        <v>0.73872854002128441</v>
      </c>
      <c r="R74" s="155">
        <f t="shared" si="45"/>
        <v>0.696120402429386</v>
      </c>
      <c r="S74" s="51"/>
      <c r="T74" s="138">
        <v>6.7969588236102014E-3</v>
      </c>
      <c r="U74" s="136">
        <f t="shared" si="46"/>
        <v>6.7969588236102014E-3</v>
      </c>
      <c r="W74" s="63">
        <f t="shared" si="24"/>
        <v>0</v>
      </c>
      <c r="X74" s="63">
        <f t="shared" si="47"/>
        <v>279569.60275299812</v>
      </c>
      <c r="Y74" s="63">
        <f t="shared" si="48"/>
        <v>54675.000000000007</v>
      </c>
      <c r="Z74" s="63">
        <v>0</v>
      </c>
      <c r="AA74" s="63">
        <f t="shared" ca="1" si="31"/>
        <v>0</v>
      </c>
      <c r="AB74" s="64">
        <f t="shared" ca="1" si="32"/>
        <v>334244.60275299812</v>
      </c>
      <c r="AC74" s="51"/>
      <c r="AD74" s="51">
        <f t="shared" si="25"/>
        <v>0</v>
      </c>
      <c r="AE74" s="64">
        <f t="shared" si="33"/>
        <v>263444.68073459482</v>
      </c>
      <c r="AF74" s="64">
        <f t="shared" si="34"/>
        <v>51521.473641359626</v>
      </c>
      <c r="AG74" s="51">
        <f t="shared" si="26"/>
        <v>0</v>
      </c>
      <c r="AH74" s="64">
        <f t="shared" ca="1" si="35"/>
        <v>0</v>
      </c>
      <c r="AI74" s="64">
        <f t="shared" ca="1" si="36"/>
        <v>314966.15437595441</v>
      </c>
      <c r="AJ74" s="57"/>
      <c r="AK74" s="51">
        <f ca="1">SUM(AD74:AD$74,AG74:AG$74)/D74+SUM(AE75:AF$75,AH$74:AH75)/D74</f>
        <v>0</v>
      </c>
      <c r="AL74" s="51">
        <f>SUM(AE75:$AF$75)*$G$14/D74</f>
        <v>0</v>
      </c>
      <c r="AM74" s="51"/>
      <c r="AN74" s="51">
        <f ca="1">-SUM(AD74:$AD$75,AH74:$AH$75)/D74</f>
        <v>0</v>
      </c>
      <c r="AO74" s="51">
        <f ca="1">-SUM(W74:$W$75,AA74:$AA$75)</f>
        <v>0</v>
      </c>
      <c r="AQ74" s="9">
        <f t="shared" ca="1" si="27"/>
        <v>0</v>
      </c>
      <c r="AR74" s="9">
        <f t="shared" si="28"/>
        <v>0</v>
      </c>
      <c r="AS74" s="9">
        <f t="shared" ca="1" si="29"/>
        <v>0</v>
      </c>
    </row>
    <row r="75" spans="1:45" outlineLevel="1" x14ac:dyDescent="0.55000000000000004">
      <c r="B75" s="8"/>
      <c r="C75" s="6"/>
      <c r="D75" s="7"/>
      <c r="E75" s="2"/>
      <c r="F75" s="85"/>
      <c r="G75" s="85"/>
      <c r="H75" s="79"/>
      <c r="I75" s="2"/>
      <c r="J75" s="6"/>
      <c r="K75" s="6"/>
      <c r="L75" s="71"/>
      <c r="M75" s="90"/>
      <c r="N75" s="2"/>
      <c r="O75" s="12"/>
      <c r="P75" s="12"/>
      <c r="Q75" s="50"/>
      <c r="R75" s="90"/>
      <c r="S75" s="55"/>
      <c r="T75" s="137"/>
      <c r="U75" s="137"/>
      <c r="W75" s="66"/>
      <c r="X75" s="66"/>
      <c r="Y75" s="66"/>
      <c r="Z75" s="66"/>
      <c r="AA75" s="66"/>
      <c r="AB75" s="66"/>
      <c r="AC75" s="55"/>
      <c r="AD75" s="67"/>
      <c r="AE75" s="68"/>
      <c r="AF75" s="68"/>
      <c r="AG75" s="67"/>
      <c r="AH75" s="67"/>
      <c r="AI75" s="68"/>
      <c r="AJ75" s="57"/>
      <c r="AK75" s="67"/>
      <c r="AL75" s="67"/>
      <c r="AM75" s="51"/>
      <c r="AN75" s="122"/>
      <c r="AO75" s="122"/>
      <c r="AQ75" s="67"/>
      <c r="AR75" s="67"/>
      <c r="AS75" s="67"/>
    </row>
    <row r="76" spans="1:45" outlineLevel="1" x14ac:dyDescent="0.55000000000000004">
      <c r="A76" s="9"/>
      <c r="B76" s="4"/>
      <c r="C76" s="4"/>
      <c r="D76" s="4"/>
      <c r="E76" s="4"/>
      <c r="F76" s="3"/>
      <c r="G76" s="3"/>
      <c r="H76" s="4"/>
      <c r="I76" s="4"/>
      <c r="J76" s="4"/>
      <c r="K76" s="4"/>
      <c r="L76" s="51"/>
      <c r="M76" s="51"/>
      <c r="N76" s="4"/>
      <c r="O76" s="4"/>
      <c r="P76" s="4"/>
      <c r="Q76" s="51"/>
      <c r="R76" s="51"/>
      <c r="S76" s="51"/>
      <c r="T76" s="4"/>
      <c r="U76" s="4"/>
      <c r="W76" s="51"/>
      <c r="X76" s="51"/>
      <c r="Y76" s="51"/>
      <c r="Z76" s="51"/>
      <c r="AA76" s="51"/>
      <c r="AB76" s="51"/>
      <c r="AC76" s="51"/>
      <c r="AD76" s="51"/>
      <c r="AE76" s="51"/>
      <c r="AF76" s="51"/>
      <c r="AG76" s="51"/>
      <c r="AH76" s="51"/>
      <c r="AI76" s="51"/>
      <c r="AJ76" s="57"/>
      <c r="AK76" s="51"/>
      <c r="AL76" s="51"/>
      <c r="AM76" s="51"/>
      <c r="AN76" s="70"/>
      <c r="AO76" s="70"/>
      <c r="AQ76" s="51"/>
      <c r="AR76" s="51"/>
      <c r="AS76" s="51"/>
    </row>
    <row r="77" spans="1:45" outlineLevel="1" x14ac:dyDescent="0.55000000000000004">
      <c r="A77" s="9"/>
      <c r="B77" s="24"/>
      <c r="C77" s="24"/>
      <c r="D77" s="25"/>
      <c r="E77" s="4"/>
      <c r="F77" s="26"/>
      <c r="G77" s="26"/>
      <c r="H77" s="26"/>
      <c r="I77" s="4"/>
      <c r="J77" s="80">
        <f>SUM(J63:J74)</f>
        <v>12</v>
      </c>
      <c r="K77" s="95">
        <f>SUM(K63:K74)</f>
        <v>1</v>
      </c>
      <c r="L77" s="81">
        <f>SUM(L63:L74)</f>
        <v>9.7701534146510696</v>
      </c>
      <c r="M77" s="81">
        <f>SUM(M63:M74)</f>
        <v>9.4732688161055734</v>
      </c>
      <c r="N77" s="4"/>
      <c r="O77" s="80">
        <f>SUM(O63:O74)</f>
        <v>12</v>
      </c>
      <c r="P77" s="95">
        <f>SUM(P63:P74)</f>
        <v>1</v>
      </c>
      <c r="Q77" s="81">
        <f>SUM(Q63:Q74)</f>
        <v>9.7701534146510696</v>
      </c>
      <c r="R77" s="81">
        <f>SUM(R63:R74)</f>
        <v>9.4732688161055734</v>
      </c>
      <c r="S77" s="52"/>
      <c r="T77" s="80">
        <f>SUM(T63:T74)</f>
        <v>1</v>
      </c>
      <c r="U77" s="95">
        <f>SUM(U63:U74)</f>
        <v>1</v>
      </c>
      <c r="W77" s="52">
        <f t="shared" ref="W77:AB77" si="49">SUM(W62:W74)</f>
        <v>-7429240.0609883014</v>
      </c>
      <c r="X77" s="52">
        <f t="shared" si="49"/>
        <v>4037470.8119808179</v>
      </c>
      <c r="Y77" s="52">
        <f t="shared" si="49"/>
        <v>908531.53800225561</v>
      </c>
      <c r="Z77" s="52">
        <f t="shared" si="49"/>
        <v>-900000</v>
      </c>
      <c r="AA77" s="52">
        <f t="shared" ca="1" si="49"/>
        <v>0</v>
      </c>
      <c r="AB77" s="52">
        <f t="shared" ca="1" si="49"/>
        <v>-3383237.7110052276</v>
      </c>
      <c r="AC77" s="51"/>
      <c r="AD77" s="52">
        <f t="shared" ref="AD77:AI77" si="50">SUM(AD62:AD74)</f>
        <v>-7240221.8812670726</v>
      </c>
      <c r="AE77" s="52">
        <f t="shared" si="50"/>
        <v>3919150.8788944497</v>
      </c>
      <c r="AF77" s="52">
        <f t="shared" si="50"/>
        <v>883435.70961299574</v>
      </c>
      <c r="AG77" s="52">
        <f t="shared" si="50"/>
        <v>-900000</v>
      </c>
      <c r="AH77" s="52">
        <f t="shared" ca="1" si="50"/>
        <v>0</v>
      </c>
      <c r="AI77" s="52">
        <f t="shared" ca="1" si="50"/>
        <v>-3337635.2927596252</v>
      </c>
      <c r="AJ77" s="52"/>
      <c r="AK77" s="52"/>
      <c r="AL77" s="52"/>
      <c r="AM77" s="51"/>
      <c r="AN77" s="70"/>
      <c r="AO77" s="70"/>
      <c r="AQ77" s="52"/>
      <c r="AR77" s="52"/>
      <c r="AS77" s="52"/>
    </row>
    <row r="78" spans="1:45" ht="15.3" x14ac:dyDescent="0.55000000000000004">
      <c r="A78" s="9"/>
      <c r="B78" s="24"/>
      <c r="C78" s="24"/>
      <c r="D78" s="4"/>
      <c r="E78" s="4"/>
      <c r="F78" s="4"/>
      <c r="G78" s="4"/>
      <c r="H78" s="4"/>
      <c r="I78" s="4"/>
      <c r="J78" s="24"/>
      <c r="K78" s="24"/>
      <c r="L78" s="52"/>
      <c r="M78" s="52"/>
      <c r="N78" s="4"/>
      <c r="O78" s="24"/>
      <c r="P78" s="24"/>
      <c r="Q78" s="52"/>
      <c r="R78" s="52"/>
      <c r="S78" s="51"/>
      <c r="W78" s="52"/>
      <c r="X78" s="72"/>
      <c r="Y78" s="72"/>
      <c r="Z78" s="52"/>
      <c r="AA78" s="52"/>
      <c r="AB78" s="52"/>
      <c r="AC78" s="51"/>
      <c r="AD78" s="52"/>
      <c r="AE78" s="73"/>
      <c r="AF78" s="73"/>
      <c r="AG78" s="52"/>
      <c r="AH78" s="52"/>
      <c r="AI78" s="52"/>
      <c r="AJ78" s="57"/>
      <c r="AK78" s="52"/>
      <c r="AL78" s="52"/>
      <c r="AM78" s="52"/>
      <c r="AN78" s="70"/>
      <c r="AO78" s="70"/>
    </row>
    <row r="79" spans="1:45" ht="15.3" x14ac:dyDescent="0.55000000000000004">
      <c r="A79" s="9"/>
      <c r="B79" s="24"/>
      <c r="C79" s="24"/>
      <c r="D79" s="4"/>
      <c r="E79" s="4"/>
      <c r="F79" s="4"/>
      <c r="G79" s="4"/>
      <c r="H79" s="4"/>
      <c r="I79" s="4"/>
      <c r="J79" s="24"/>
      <c r="K79" s="24"/>
      <c r="L79" s="52"/>
      <c r="M79" s="52"/>
      <c r="N79" s="4"/>
      <c r="O79" s="24"/>
      <c r="P79" s="24"/>
      <c r="Q79" s="52"/>
      <c r="R79" s="52"/>
      <c r="S79" s="51"/>
      <c r="W79" s="52"/>
      <c r="X79" s="72"/>
      <c r="Y79" s="72"/>
      <c r="Z79" s="52"/>
      <c r="AA79" s="52"/>
      <c r="AB79" s="52"/>
      <c r="AC79" s="51"/>
      <c r="AD79" s="52"/>
      <c r="AE79" s="73"/>
      <c r="AF79" s="73"/>
      <c r="AG79" s="52"/>
      <c r="AH79" s="52"/>
      <c r="AI79" s="52"/>
      <c r="AJ79" s="57"/>
      <c r="AK79" s="52"/>
      <c r="AL79" s="52"/>
      <c r="AM79" s="52"/>
      <c r="AN79" s="70"/>
      <c r="AO79" s="70"/>
    </row>
    <row r="80" spans="1:45" ht="18.3" x14ac:dyDescent="0.55000000000000004">
      <c r="A80" s="2"/>
      <c r="B80" s="144" t="s">
        <v>173</v>
      </c>
      <c r="C80" s="108"/>
      <c r="D80" s="109"/>
      <c r="H80" s="106"/>
      <c r="J80" s="2"/>
      <c r="K80" s="2"/>
      <c r="N80" s="2"/>
      <c r="O80" s="2"/>
      <c r="P80" s="2"/>
      <c r="Q80" s="2"/>
      <c r="S80" s="2"/>
      <c r="W80" s="55"/>
      <c r="X80" s="55"/>
      <c r="Y80" s="55"/>
      <c r="Z80" s="55"/>
      <c r="AA80" s="55"/>
      <c r="AB80" s="55"/>
      <c r="AC80" s="2"/>
      <c r="AD80" s="22"/>
      <c r="AE80" s="2"/>
      <c r="AF80" s="2"/>
      <c r="AG80" s="2"/>
      <c r="AH80" s="2"/>
      <c r="AI80" s="2"/>
      <c r="AJ80" s="21"/>
      <c r="AK80" s="2"/>
      <c r="AL80" s="2"/>
      <c r="AM80" s="2"/>
      <c r="AN80" s="70"/>
      <c r="AO80" s="70"/>
    </row>
    <row r="81" spans="1:45" outlineLevel="1" x14ac:dyDescent="0.55000000000000004">
      <c r="D81" s="2"/>
      <c r="E81" s="2"/>
      <c r="F81" s="2"/>
      <c r="G81" s="2"/>
      <c r="H81" s="2"/>
      <c r="I81" s="2"/>
      <c r="J81" s="2"/>
      <c r="K81" s="2"/>
      <c r="L81" s="2"/>
      <c r="M81" s="2"/>
      <c r="N81" s="2"/>
      <c r="O81" s="2"/>
      <c r="P81" s="2"/>
      <c r="Q81" s="2"/>
      <c r="R81" s="2"/>
      <c r="S81" s="2"/>
      <c r="W81" s="55"/>
      <c r="X81" s="55"/>
      <c r="Y81" s="55"/>
      <c r="Z81" s="55"/>
      <c r="AA81" s="114"/>
      <c r="AB81" s="115"/>
      <c r="AC81" s="2"/>
      <c r="AD81" s="2"/>
      <c r="AE81" s="2"/>
      <c r="AF81" s="2"/>
      <c r="AG81" s="2"/>
      <c r="AH81" s="2"/>
      <c r="AI81" s="2"/>
      <c r="AJ81" s="21"/>
      <c r="AK81" s="2"/>
      <c r="AL81" s="2"/>
      <c r="AM81" s="51"/>
      <c r="AN81" s="70"/>
      <c r="AO81" s="70"/>
    </row>
    <row r="82" spans="1:45" ht="19.899999999999999" customHeight="1" outlineLevel="1" x14ac:dyDescent="0.55000000000000004">
      <c r="B82" s="173" t="s">
        <v>68</v>
      </c>
      <c r="C82" s="173"/>
      <c r="D82" s="173"/>
      <c r="E82" s="2"/>
      <c r="F82" s="174" t="s">
        <v>129</v>
      </c>
      <c r="G82" s="174"/>
      <c r="H82" s="174"/>
      <c r="I82" s="2"/>
      <c r="J82" s="174" t="s">
        <v>70</v>
      </c>
      <c r="K82" s="174"/>
      <c r="L82" s="174"/>
      <c r="M82" s="174"/>
      <c r="N82" s="2"/>
      <c r="O82" s="174" t="s">
        <v>39</v>
      </c>
      <c r="P82" s="174"/>
      <c r="Q82" s="174"/>
      <c r="R82" s="174"/>
      <c r="S82" s="2"/>
      <c r="T82" s="170" t="s">
        <v>474</v>
      </c>
      <c r="U82" s="170"/>
      <c r="W82" s="172" t="s">
        <v>32</v>
      </c>
      <c r="X82" s="172"/>
      <c r="Y82" s="172"/>
      <c r="Z82" s="172"/>
      <c r="AA82" s="172"/>
      <c r="AB82" s="172"/>
      <c r="AC82" s="2"/>
      <c r="AD82" s="171" t="s">
        <v>33</v>
      </c>
      <c r="AE82" s="171"/>
      <c r="AF82" s="171"/>
      <c r="AG82" s="171"/>
      <c r="AH82" s="171"/>
      <c r="AI82" s="171"/>
      <c r="AJ82" s="21"/>
      <c r="AK82" s="171" t="s">
        <v>154</v>
      </c>
      <c r="AL82" s="171"/>
      <c r="AM82" s="51"/>
      <c r="AN82" s="172" t="s">
        <v>340</v>
      </c>
      <c r="AO82" s="172"/>
      <c r="AQ82" s="173" t="s">
        <v>147</v>
      </c>
      <c r="AR82" s="173"/>
      <c r="AS82" s="173"/>
    </row>
    <row r="83" spans="1:45" ht="30.6" customHeight="1" outlineLevel="1" x14ac:dyDescent="0.55000000000000004">
      <c r="B83" s="146" t="s">
        <v>149</v>
      </c>
      <c r="C83" s="146" t="s">
        <v>10</v>
      </c>
      <c r="D83" s="78" t="s">
        <v>126</v>
      </c>
      <c r="E83" s="13"/>
      <c r="F83" s="82" t="s">
        <v>129</v>
      </c>
      <c r="G83" s="82" t="s">
        <v>158</v>
      </c>
      <c r="H83" s="86" t="s">
        <v>2</v>
      </c>
      <c r="I83" s="2"/>
      <c r="J83" s="88" t="s">
        <v>127</v>
      </c>
      <c r="K83" s="88" t="s">
        <v>37</v>
      </c>
      <c r="L83" s="48" t="s">
        <v>131</v>
      </c>
      <c r="M83" s="86" t="s">
        <v>2</v>
      </c>
      <c r="N83" s="13"/>
      <c r="O83" s="91" t="s">
        <v>128</v>
      </c>
      <c r="P83" s="91" t="s">
        <v>37</v>
      </c>
      <c r="Q83" s="92" t="s">
        <v>132</v>
      </c>
      <c r="R83" s="86" t="s">
        <v>2</v>
      </c>
      <c r="S83" s="55"/>
      <c r="T83" s="91" t="s">
        <v>159</v>
      </c>
      <c r="U83" s="91" t="s">
        <v>37</v>
      </c>
      <c r="W83" s="53" t="s">
        <v>12</v>
      </c>
      <c r="X83" s="53" t="s">
        <v>35</v>
      </c>
      <c r="Y83" s="53" t="s">
        <v>36</v>
      </c>
      <c r="Z83" s="53" t="s">
        <v>42</v>
      </c>
      <c r="AA83" s="56" t="s">
        <v>121</v>
      </c>
      <c r="AB83" s="53" t="s">
        <v>1</v>
      </c>
      <c r="AC83" s="55"/>
      <c r="AD83" s="53" t="s">
        <v>12</v>
      </c>
      <c r="AE83" s="53" t="s">
        <v>35</v>
      </c>
      <c r="AF83" s="53" t="s">
        <v>36</v>
      </c>
      <c r="AG83" s="56" t="s">
        <v>42</v>
      </c>
      <c r="AH83" s="56" t="s">
        <v>121</v>
      </c>
      <c r="AI83" s="53" t="s">
        <v>1</v>
      </c>
      <c r="AJ83" s="57"/>
      <c r="AK83" s="58" t="s">
        <v>3</v>
      </c>
      <c r="AL83" s="58" t="s">
        <v>0</v>
      </c>
      <c r="AM83" s="51"/>
      <c r="AN83" s="76" t="s">
        <v>46</v>
      </c>
      <c r="AO83" s="76" t="s">
        <v>150</v>
      </c>
      <c r="AQ83" s="58" t="s">
        <v>3</v>
      </c>
      <c r="AR83" s="58" t="s">
        <v>0</v>
      </c>
      <c r="AS83" s="58" t="s">
        <v>12</v>
      </c>
    </row>
    <row r="84" spans="1:45" s="19" customFormat="1" outlineLevel="1" x14ac:dyDescent="0.55000000000000004">
      <c r="B84" s="15" t="s">
        <v>246</v>
      </c>
      <c r="C84" s="15" t="s">
        <v>247</v>
      </c>
      <c r="D84" s="16" t="s">
        <v>248</v>
      </c>
      <c r="E84" s="20"/>
      <c r="F84" s="83" t="s">
        <v>249</v>
      </c>
      <c r="G84" s="83" t="s">
        <v>250</v>
      </c>
      <c r="H84" s="18" t="s">
        <v>251</v>
      </c>
      <c r="I84" s="23"/>
      <c r="J84" s="18" t="s">
        <v>252</v>
      </c>
      <c r="K84" s="18" t="s">
        <v>253</v>
      </c>
      <c r="L84" s="18" t="s">
        <v>254</v>
      </c>
      <c r="M84" s="17" t="s">
        <v>255</v>
      </c>
      <c r="N84" s="20"/>
      <c r="O84" s="17" t="s">
        <v>256</v>
      </c>
      <c r="P84" s="17" t="s">
        <v>257</v>
      </c>
      <c r="Q84" s="17" t="s">
        <v>258</v>
      </c>
      <c r="R84" s="143" t="s">
        <v>259</v>
      </c>
      <c r="S84" s="61"/>
      <c r="T84" s="17" t="s">
        <v>260</v>
      </c>
      <c r="U84" s="17" t="s">
        <v>261</v>
      </c>
      <c r="W84" s="60" t="s">
        <v>262</v>
      </c>
      <c r="X84" s="60" t="s">
        <v>263</v>
      </c>
      <c r="Y84" s="60" t="s">
        <v>264</v>
      </c>
      <c r="Z84" s="60" t="s">
        <v>265</v>
      </c>
      <c r="AA84" s="60" t="s">
        <v>266</v>
      </c>
      <c r="AB84" s="60" t="s">
        <v>267</v>
      </c>
      <c r="AC84" s="61"/>
      <c r="AD84" s="60" t="s">
        <v>268</v>
      </c>
      <c r="AE84" s="60" t="s">
        <v>269</v>
      </c>
      <c r="AF84" s="60" t="s">
        <v>270</v>
      </c>
      <c r="AG84" s="60" t="s">
        <v>271</v>
      </c>
      <c r="AH84" s="60" t="s">
        <v>272</v>
      </c>
      <c r="AI84" s="60" t="s">
        <v>273</v>
      </c>
      <c r="AJ84" s="62"/>
      <c r="AK84" s="60" t="s">
        <v>274</v>
      </c>
      <c r="AL84" s="60" t="s">
        <v>275</v>
      </c>
      <c r="AN84" s="60" t="s">
        <v>307</v>
      </c>
      <c r="AO84" s="60" t="s">
        <v>308</v>
      </c>
      <c r="AQ84" s="60" t="s">
        <v>309</v>
      </c>
      <c r="AR84" s="60" t="s">
        <v>310</v>
      </c>
      <c r="AS84" s="60" t="s">
        <v>311</v>
      </c>
    </row>
    <row r="85" spans="1:45" outlineLevel="1" x14ac:dyDescent="0.55000000000000004">
      <c r="B85" s="1"/>
      <c r="C85" s="3">
        <v>0</v>
      </c>
      <c r="D85" s="87">
        <v>1</v>
      </c>
      <c r="E85" s="2"/>
      <c r="F85" s="84">
        <v>1</v>
      </c>
      <c r="G85" s="84"/>
      <c r="H85" s="5"/>
      <c r="I85" s="2"/>
      <c r="J85" s="2"/>
      <c r="K85" s="2"/>
      <c r="L85" s="55"/>
      <c r="M85" s="55"/>
      <c r="N85" s="2"/>
      <c r="O85" s="10"/>
      <c r="P85" s="10"/>
      <c r="Q85" s="49"/>
      <c r="R85" s="55"/>
      <c r="S85" s="55"/>
      <c r="T85" s="2"/>
      <c r="U85" s="2"/>
      <c r="W85" s="63">
        <f t="shared" ref="W85:W97" si="51">IFERROR(IF(C85&gt;=$F$7*4,0,-IF($F$22="pattern",U86*$F$21,IF(AND($F$22="single",C85=0),$F$21,IF(AND($F$22="annual",MOD(C85,4)=0),$F$21/$F$7,IF(AND($F$22="semi-ann",MOD(C85,2)=0),$F$21/(2*$F$7),IF($F$22="quarterly",$F$21/(4*$F$7),0)))))*F85),0)</f>
        <v>-750000</v>
      </c>
      <c r="X85" s="63"/>
      <c r="Y85" s="63"/>
      <c r="Z85" s="63">
        <f>-$F$13*$F$21</f>
        <v>-900000</v>
      </c>
      <c r="AA85" s="63"/>
      <c r="AB85" s="64">
        <f>SUM(W85:AA85)</f>
        <v>-1650000</v>
      </c>
      <c r="AC85" s="55"/>
      <c r="AD85" s="64">
        <f t="shared" ref="AD85:AD97" si="52">W85*$D85</f>
        <v>-750000</v>
      </c>
      <c r="AE85" s="64"/>
      <c r="AF85" s="64"/>
      <c r="AG85" s="64">
        <f t="shared" ref="AG85:AG97" si="53">Z85*$D85</f>
        <v>-900000</v>
      </c>
      <c r="AH85" s="64"/>
      <c r="AI85" s="64">
        <f>SUM(AD85:AH85)</f>
        <v>-1650000</v>
      </c>
      <c r="AJ85" s="57"/>
      <c r="AK85" s="51">
        <f ca="1">SUM(AD85:AD$97,AG85:AG$97)/D85+SUM(AE86:AF$98,AH86:AH$97)/D85</f>
        <v>-3340977.6987821963</v>
      </c>
      <c r="AL85" s="51">
        <f>SUM(AE86:$AF$98)*$G$14/D85</f>
        <v>144594.85404904213</v>
      </c>
      <c r="AM85" s="51"/>
      <c r="AN85" s="51">
        <f ca="1">-SUM(AD85:$AD$98,AH85:$AH$98)/D85</f>
        <v>7260806.1670836005</v>
      </c>
      <c r="AO85" s="51">
        <f ca="1">-SUM(W85:$W$98,AA85:$AA$98)</f>
        <v>7429240.0609883014</v>
      </c>
      <c r="AQ85" s="9">
        <f t="shared" ref="AQ85:AQ97" ca="1" si="54">AK85-AK62</f>
        <v>-3342.4060225682333</v>
      </c>
      <c r="AR85" s="9">
        <f t="shared" ref="AR85:AR97" si="55">AL85-AL62</f>
        <v>517.25639381879591</v>
      </c>
      <c r="AS85" s="9">
        <f t="shared" ref="AS85:AS97" ca="1" si="56">IF($F$27="yes",AN85-AN62,AO85-AO62)</f>
        <v>20584.285816527903</v>
      </c>
    </row>
    <row r="86" spans="1:45" outlineLevel="1" x14ac:dyDescent="0.55000000000000004">
      <c r="A86" s="9"/>
      <c r="B86" s="1" t="s">
        <v>6</v>
      </c>
      <c r="C86" s="3">
        <v>1</v>
      </c>
      <c r="D86" s="87">
        <f>D85/(1+IF(C86&lt;$F$8,$F$17,$G$17))^(1/4)</f>
        <v>0.99506157747984325</v>
      </c>
      <c r="E86" s="4"/>
      <c r="F86" s="112">
        <f t="shared" ref="F86:F97" si="57">(1-IF(C86&lt;$F$8,$F$19,$G$19))^(C86/4)</f>
        <v>0.94574160900317583</v>
      </c>
      <c r="G86" s="84">
        <f>AVERAGE(F85:F86)</f>
        <v>0.97287080450158792</v>
      </c>
      <c r="H86" s="154">
        <f>F86*D86</f>
        <v>0.94107113734302528</v>
      </c>
      <c r="I86" s="4"/>
      <c r="J86" s="116">
        <f t="shared" ref="J86:J97" si="58">J63</f>
        <v>1</v>
      </c>
      <c r="K86" s="156">
        <f>J86/$J$77</f>
        <v>8.3333333333333329E-2</v>
      </c>
      <c r="L86" s="155">
        <f>J86*G86</f>
        <v>0.97287080450158792</v>
      </c>
      <c r="M86" s="155">
        <f>L86*D86</f>
        <v>0.96806635741143421</v>
      </c>
      <c r="N86" s="4"/>
      <c r="O86" s="116">
        <f t="shared" ref="O86:O97" si="59">O63</f>
        <v>1</v>
      </c>
      <c r="P86" s="94">
        <f>O86/$O$77</f>
        <v>8.3333333333333329E-2</v>
      </c>
      <c r="Q86" s="155">
        <f>O86*G86</f>
        <v>0.97287080450158792</v>
      </c>
      <c r="R86" s="155">
        <f>Q86*D86</f>
        <v>0.96806635741143421</v>
      </c>
      <c r="S86" s="51"/>
      <c r="T86" s="139">
        <f t="shared" ref="T86:T97" si="60">T63</f>
        <v>0.20282873599525819</v>
      </c>
      <c r="U86" s="136">
        <f>T86/$T$100</f>
        <v>0.20282873599525819</v>
      </c>
      <c r="W86" s="63">
        <f t="shared" si="51"/>
        <v>-709306.20675238187</v>
      </c>
      <c r="X86" s="63">
        <f>$F$21*IF(C86&lt;$F$8,$F$11,$G$11)*P86*((1+$F$18)^(MIN($F$8-1,C86)/4))*((1+$G$18)^(MAX(0,C86-$F$8+1)/4))*F86</f>
        <v>426643.71662943577</v>
      </c>
      <c r="Y86" s="63">
        <f>$F$21*IF(C86&lt;$F$8,$F$12,$G$12)*IF($F$28="risk",P86*F86,IF($F$28="policies IF",F86/($F$7*4),1/($F$7*4)))</f>
        <v>106395.93101285727</v>
      </c>
      <c r="Z86" s="63">
        <v>0</v>
      </c>
      <c r="AA86" s="63">
        <f t="shared" ref="AA86:AA97" ca="1" si="61">IF($F$25="no",0,1)*(F86-F85)*OFFSET(W86,-IF($F$22="single",C86,IF($F$22="annual",MOD(C86,4),IF($F$22="semi-ann",MOD(C86,2),0))),0)*IF($F$22="single",($F$7*4-C86)/($F$7*4),IF(AND($F$22="annual",MOD(C86,4)&lt;&gt;0),(4-MOD(C86,4))/4,IF(AND($F$22="semi-ann",MOD(C86,2)&lt;&gt;0),0.5,0)))</f>
        <v>0</v>
      </c>
      <c r="AB86" s="64">
        <f t="shared" ref="AB86:AB97" ca="1" si="62">SUM(W86:AA86)</f>
        <v>-176266.55911008883</v>
      </c>
      <c r="AC86" s="51"/>
      <c r="AD86" s="51">
        <f t="shared" si="52"/>
        <v>-705803.35300726898</v>
      </c>
      <c r="AE86" s="64">
        <f t="shared" ref="AE86:AE97" si="63">X86*$D86</f>
        <v>424536.76969114959</v>
      </c>
      <c r="AF86" s="64">
        <f t="shared" ref="AF86:AF97" si="64">Y86*$D86</f>
        <v>105870.50295109033</v>
      </c>
      <c r="AG86" s="51">
        <f t="shared" si="53"/>
        <v>0</v>
      </c>
      <c r="AH86" s="64">
        <f t="shared" ref="AH86:AH97" ca="1" si="65">AA86*$D86</f>
        <v>0</v>
      </c>
      <c r="AI86" s="64">
        <f t="shared" ref="AI86:AI97" ca="1" si="66">SUM(AD86:AH86)</f>
        <v>-175396.08036502905</v>
      </c>
      <c r="AJ86" s="57"/>
      <c r="AK86" s="51">
        <f ca="1">SUM(AD86:AD$97,AG86:AG$97)/D86+SUM(AE87:AF$98,AH87:AH$97)/D86</f>
        <v>-2232409.553035358</v>
      </c>
      <c r="AL86" s="51">
        <f>SUM(AE87:$AF$98)*$G$14/D86</f>
        <v>129321.27898625609</v>
      </c>
      <c r="AM86" s="51"/>
      <c r="AN86" s="51">
        <f ca="1">-SUM(AD86:$AD$98,AH86:$AH$98)/D86</f>
        <v>6543118.8525772281</v>
      </c>
      <c r="AO86" s="51">
        <f ca="1">-SUM(W86:$W$98,AA86:$AA$98)</f>
        <v>6679240.0609883014</v>
      </c>
      <c r="AQ86" s="9">
        <f t="shared" ca="1" si="54"/>
        <v>-3358.9941549478099</v>
      </c>
      <c r="AR86" s="9">
        <f t="shared" si="55"/>
        <v>519.82350190707075</v>
      </c>
      <c r="AS86" s="9">
        <f t="shared" ca="1" si="56"/>
        <v>20686.444218517281</v>
      </c>
    </row>
    <row r="87" spans="1:45" outlineLevel="1" x14ac:dyDescent="0.55000000000000004">
      <c r="A87" s="9"/>
      <c r="B87" s="1" t="s">
        <v>7</v>
      </c>
      <c r="C87" s="3">
        <v>2</v>
      </c>
      <c r="D87" s="87">
        <f t="shared" ref="D87:D97" si="67">D86/(1+IF(C87&lt;$F$8,$F$17,$G$17))^(1/4)</f>
        <v>0.99014754297667418</v>
      </c>
      <c r="E87" s="4"/>
      <c r="F87" s="112">
        <f t="shared" si="57"/>
        <v>0.89442719099991586</v>
      </c>
      <c r="G87" s="84">
        <f t="shared" ref="G87:G97" si="68">AVERAGE(F86:F87)</f>
        <v>0.92008440000154579</v>
      </c>
      <c r="H87" s="154">
        <f t="shared" ref="H87:H97" si="69">F87*D87</f>
        <v>0.88561488554009515</v>
      </c>
      <c r="I87" s="4"/>
      <c r="J87" s="116">
        <f t="shared" si="58"/>
        <v>1</v>
      </c>
      <c r="K87" s="156">
        <f t="shared" ref="K87:K97" si="70">J87/$J$77</f>
        <v>8.3333333333333329E-2</v>
      </c>
      <c r="L87" s="155">
        <f t="shared" ref="L87:L97" si="71">J87*G87</f>
        <v>0.92008440000154579</v>
      </c>
      <c r="M87" s="155">
        <f t="shared" ref="M87:M97" si="72">L87*D87</f>
        <v>0.91101930799269804</v>
      </c>
      <c r="N87" s="4"/>
      <c r="O87" s="116">
        <f t="shared" si="59"/>
        <v>1</v>
      </c>
      <c r="P87" s="94">
        <f t="shared" ref="P87:P97" si="73">O87/$O$77</f>
        <v>8.3333333333333329E-2</v>
      </c>
      <c r="Q87" s="155">
        <f t="shared" ref="Q87:Q97" si="74">O87*G87</f>
        <v>0.92008440000154579</v>
      </c>
      <c r="R87" s="155">
        <f t="shared" ref="R87:R97" si="75">Q87*D87</f>
        <v>0.91101930799269804</v>
      </c>
      <c r="S87" s="51"/>
      <c r="T87" s="139">
        <f t="shared" si="60"/>
        <v>0.17818906429460918</v>
      </c>
      <c r="U87" s="136">
        <f t="shared" ref="U87:U97" si="76">T87/$T$100</f>
        <v>0.17818906429460918</v>
      </c>
      <c r="W87" s="63">
        <f t="shared" si="51"/>
        <v>-670820.39324993687</v>
      </c>
      <c r="X87" s="63">
        <f t="shared" ref="X87:X97" si="77">$F$21*IF(C87&lt;$F$8,$F$11,$G$11)*P87*((1+$F$18)^(MIN($F$8-1,C87)/4))*((1+$G$18)^(MAX(0,C87-$F$8+1)/4))*F87</f>
        <v>404499.69097639614</v>
      </c>
      <c r="Y87" s="63">
        <f t="shared" ref="Y87:Y97" si="78">$F$21*IF(C87&lt;$F$8,$F$12,$G$12)*IF($F$28="risk",P87*F87,IF($F$28="policies IF",F87/($F$7*4),1/($F$7*4)))</f>
        <v>100623.05898749053</v>
      </c>
      <c r="Z87" s="63">
        <v>0</v>
      </c>
      <c r="AA87" s="63">
        <f t="shared" ca="1" si="61"/>
        <v>0</v>
      </c>
      <c r="AB87" s="64">
        <f t="shared" ca="1" si="62"/>
        <v>-165697.64328605018</v>
      </c>
      <c r="AC87" s="51"/>
      <c r="AD87" s="51">
        <f t="shared" si="52"/>
        <v>-664211.16415507137</v>
      </c>
      <c r="AE87" s="64">
        <f t="shared" si="63"/>
        <v>400514.37515510264</v>
      </c>
      <c r="AF87" s="64">
        <f t="shared" si="64"/>
        <v>99631.674623260697</v>
      </c>
      <c r="AG87" s="51">
        <f t="shared" si="53"/>
        <v>0</v>
      </c>
      <c r="AH87" s="64">
        <f t="shared" ca="1" si="65"/>
        <v>0</v>
      </c>
      <c r="AI87" s="64">
        <f t="shared" ca="1" si="66"/>
        <v>-164065.11437670805</v>
      </c>
      <c r="AJ87" s="57"/>
      <c r="AK87" s="51">
        <f ca="1">SUM(AD87:AD$97,AG87:AG$97)/D87+SUM(AE88:AF$98,AH88:AH$97)/D87</f>
        <v>-2035785.153933384</v>
      </c>
      <c r="AL87" s="51">
        <f>SUM(AE88:$AF$98)*$G$14/D87</f>
        <v>114809.40914590751</v>
      </c>
      <c r="AM87" s="51"/>
      <c r="AN87" s="51">
        <f ca="1">-SUM(AD87:$AD$98,AH87:$AH$98)/D87</f>
        <v>5862765.4587969678</v>
      </c>
      <c r="AO87" s="51">
        <f ca="1">-SUM(W87:$W$98,AA87:$AA$98)</f>
        <v>5969933.8542359192</v>
      </c>
      <c r="AQ87" s="9">
        <f t="shared" ca="1" si="54"/>
        <v>-3375.6646130955778</v>
      </c>
      <c r="AR87" s="9">
        <f t="shared" si="55"/>
        <v>522.40335037720797</v>
      </c>
      <c r="AS87" s="9">
        <f t="shared" ca="1" si="56"/>
        <v>20789.109625669196</v>
      </c>
    </row>
    <row r="88" spans="1:45" outlineLevel="1" x14ac:dyDescent="0.55000000000000004">
      <c r="A88" s="9"/>
      <c r="B88" s="1" t="s">
        <v>8</v>
      </c>
      <c r="C88" s="3">
        <v>3</v>
      </c>
      <c r="D88" s="87">
        <f t="shared" si="67"/>
        <v>0.98525777605216036</v>
      </c>
      <c r="E88" s="4"/>
      <c r="F88" s="112">
        <f t="shared" si="57"/>
        <v>0.84589701075245127</v>
      </c>
      <c r="G88" s="84">
        <f t="shared" si="68"/>
        <v>0.87016210087618351</v>
      </c>
      <c r="H88" s="154">
        <f t="shared" si="69"/>
        <v>0.83342660758313047</v>
      </c>
      <c r="I88" s="4"/>
      <c r="J88" s="116">
        <f t="shared" si="58"/>
        <v>1</v>
      </c>
      <c r="K88" s="156">
        <f t="shared" si="70"/>
        <v>8.3333333333333329E-2</v>
      </c>
      <c r="L88" s="155">
        <f t="shared" si="71"/>
        <v>0.87016210087618351</v>
      </c>
      <c r="M88" s="155">
        <f t="shared" si="72"/>
        <v>0.85733397631414421</v>
      </c>
      <c r="N88" s="4"/>
      <c r="O88" s="116">
        <f t="shared" si="59"/>
        <v>1</v>
      </c>
      <c r="P88" s="94">
        <f t="shared" si="73"/>
        <v>8.3333333333333329E-2</v>
      </c>
      <c r="Q88" s="155">
        <f t="shared" si="74"/>
        <v>0.87016210087618351</v>
      </c>
      <c r="R88" s="155">
        <f t="shared" si="75"/>
        <v>0.85733397631414421</v>
      </c>
      <c r="S88" s="51"/>
      <c r="T88" s="139">
        <f t="shared" si="60"/>
        <v>0.20194032380116383</v>
      </c>
      <c r="U88" s="136">
        <f t="shared" si="76"/>
        <v>0.20194032380116383</v>
      </c>
      <c r="W88" s="63">
        <f t="shared" si="51"/>
        <v>-634422.75806433847</v>
      </c>
      <c r="X88" s="63">
        <f t="shared" si="77"/>
        <v>383505.00340806198</v>
      </c>
      <c r="Y88" s="63">
        <f t="shared" si="78"/>
        <v>95163.413709650762</v>
      </c>
      <c r="Z88" s="63">
        <v>0</v>
      </c>
      <c r="AA88" s="63">
        <f t="shared" ca="1" si="61"/>
        <v>0</v>
      </c>
      <c r="AB88" s="64">
        <f t="shared" ca="1" si="62"/>
        <v>-155754.34094662574</v>
      </c>
      <c r="AC88" s="51"/>
      <c r="AD88" s="51">
        <f t="shared" si="52"/>
        <v>-625069.95568734792</v>
      </c>
      <c r="AE88" s="64">
        <f t="shared" si="63"/>
        <v>377851.28676270333</v>
      </c>
      <c r="AF88" s="64">
        <f t="shared" si="64"/>
        <v>93760.493353102182</v>
      </c>
      <c r="AG88" s="51">
        <f t="shared" si="53"/>
        <v>0</v>
      </c>
      <c r="AH88" s="64">
        <f t="shared" ca="1" si="65"/>
        <v>0</v>
      </c>
      <c r="AI88" s="64">
        <f t="shared" ca="1" si="66"/>
        <v>-153458.17557154241</v>
      </c>
      <c r="AJ88" s="57"/>
      <c r="AK88" s="51">
        <f ca="1">SUM(AD88:AD$97,AG88:AG$97)/D88+SUM(AE89:AF$98,AH89:AH$97)/D88</f>
        <v>-1850407.4045082661</v>
      </c>
      <c r="AL88" s="51">
        <f>SUM(AE89:$AF$98)*$G$14/D88</f>
        <v>101019.1478739272</v>
      </c>
      <c r="AM88" s="51"/>
      <c r="AN88" s="51">
        <f ca="1">-SUM(AD88:$AD$98,AH88:$AH$98)/D88</f>
        <v>5217712.3336391728</v>
      </c>
      <c r="AO88" s="51">
        <f ca="1">-SUM(W88:$W$98,AA88:$AA$98)</f>
        <v>5299113.4609859819</v>
      </c>
      <c r="AQ88" s="9">
        <f t="shared" ca="1" si="54"/>
        <v>-3392.4178055846132</v>
      </c>
      <c r="AR88" s="9">
        <f t="shared" si="55"/>
        <v>524.99600245871989</v>
      </c>
      <c r="AS88" s="9">
        <f t="shared" ca="1" si="56"/>
        <v>20892.284554208629</v>
      </c>
    </row>
    <row r="89" spans="1:45" outlineLevel="1" x14ac:dyDescent="0.55000000000000004">
      <c r="A89" s="9"/>
      <c r="B89" s="1" t="s">
        <v>9</v>
      </c>
      <c r="C89" s="3">
        <v>4</v>
      </c>
      <c r="D89" s="87">
        <f t="shared" si="67"/>
        <v>0.98039215686274483</v>
      </c>
      <c r="E89" s="4"/>
      <c r="F89" s="112">
        <f t="shared" si="57"/>
        <v>0.8</v>
      </c>
      <c r="G89" s="84">
        <f t="shared" si="68"/>
        <v>0.82294850537622566</v>
      </c>
      <c r="H89" s="154">
        <f t="shared" si="69"/>
        <v>0.78431372549019596</v>
      </c>
      <c r="I89" s="4"/>
      <c r="J89" s="116">
        <f t="shared" si="58"/>
        <v>1</v>
      </c>
      <c r="K89" s="156">
        <f t="shared" si="70"/>
        <v>8.3333333333333329E-2</v>
      </c>
      <c r="L89" s="155">
        <f t="shared" si="71"/>
        <v>0.82294850537622566</v>
      </c>
      <c r="M89" s="155">
        <f t="shared" si="72"/>
        <v>0.80681226017277008</v>
      </c>
      <c r="N89" s="4"/>
      <c r="O89" s="116">
        <f t="shared" si="59"/>
        <v>1</v>
      </c>
      <c r="P89" s="94">
        <f t="shared" si="73"/>
        <v>8.3333333333333329E-2</v>
      </c>
      <c r="Q89" s="155">
        <f t="shared" si="74"/>
        <v>0.82294850537622566</v>
      </c>
      <c r="R89" s="155">
        <f t="shared" si="75"/>
        <v>0.80681226017277008</v>
      </c>
      <c r="S89" s="51"/>
      <c r="T89" s="139">
        <f t="shared" si="60"/>
        <v>0.20709640104961757</v>
      </c>
      <c r="U89" s="136">
        <f t="shared" si="76"/>
        <v>0.20709640104961757</v>
      </c>
      <c r="W89" s="63">
        <f t="shared" si="51"/>
        <v>-600000</v>
      </c>
      <c r="X89" s="63">
        <f t="shared" si="77"/>
        <v>363600</v>
      </c>
      <c r="Y89" s="63">
        <f t="shared" si="78"/>
        <v>90000</v>
      </c>
      <c r="Z89" s="63">
        <v>0</v>
      </c>
      <c r="AA89" s="63">
        <f t="shared" ca="1" si="61"/>
        <v>0</v>
      </c>
      <c r="AB89" s="64">
        <f t="shared" ca="1" si="62"/>
        <v>-146400</v>
      </c>
      <c r="AC89" s="51"/>
      <c r="AD89" s="51">
        <f t="shared" si="52"/>
        <v>-588235.29411764687</v>
      </c>
      <c r="AE89" s="64">
        <f t="shared" si="63"/>
        <v>356470.58823529404</v>
      </c>
      <c r="AF89" s="64">
        <f t="shared" si="64"/>
        <v>88235.294117647034</v>
      </c>
      <c r="AG89" s="51">
        <f t="shared" si="53"/>
        <v>0</v>
      </c>
      <c r="AH89" s="64">
        <f t="shared" ca="1" si="65"/>
        <v>0</v>
      </c>
      <c r="AI89" s="64">
        <f t="shared" ca="1" si="66"/>
        <v>-143529.41176470579</v>
      </c>
      <c r="AJ89" s="57"/>
      <c r="AK89" s="51">
        <f ca="1">SUM(AD89:AD$97,AG89:AG$97)/D89+SUM(AE90:AF$98,AH90:AH$97)/D89</f>
        <v>-1675619.4950382947</v>
      </c>
      <c r="AL89" s="51">
        <f>SUM(AE90:$AF$98)*$G$14/D89</f>
        <v>87912.498992408873</v>
      </c>
      <c r="AM89" s="51"/>
      <c r="AN89" s="51">
        <f ca="1">-SUM(AD89:$AD$98,AH89:$AH$98)/D89</f>
        <v>4606036.1281185905</v>
      </c>
      <c r="AO89" s="51">
        <f ca="1">-SUM(W89:$W$98,AA89:$AA$98)</f>
        <v>4664690.7029216439</v>
      </c>
      <c r="AQ89" s="9">
        <f t="shared" ca="1" si="54"/>
        <v>-3409.2541430206038</v>
      </c>
      <c r="AR89" s="9">
        <f t="shared" si="55"/>
        <v>527.60152169513458</v>
      </c>
      <c r="AS89" s="9">
        <f t="shared" ca="1" si="56"/>
        <v>20995.971532857977</v>
      </c>
    </row>
    <row r="90" spans="1:45" outlineLevel="1" x14ac:dyDescent="0.55000000000000004">
      <c r="A90" s="9"/>
      <c r="B90" s="1" t="s">
        <v>16</v>
      </c>
      <c r="C90" s="3">
        <v>5</v>
      </c>
      <c r="D90" s="87">
        <f t="shared" si="67"/>
        <v>0.97555056615670888</v>
      </c>
      <c r="E90" s="4"/>
      <c r="F90" s="112">
        <f t="shared" si="57"/>
        <v>0.75659328720254071</v>
      </c>
      <c r="G90" s="84">
        <f t="shared" si="68"/>
        <v>0.77829664360127038</v>
      </c>
      <c r="H90" s="154">
        <f t="shared" si="69"/>
        <v>0.73809500968080399</v>
      </c>
      <c r="I90" s="4"/>
      <c r="J90" s="116">
        <f t="shared" si="58"/>
        <v>1</v>
      </c>
      <c r="K90" s="156">
        <f t="shared" si="70"/>
        <v>8.3333333333333329E-2</v>
      </c>
      <c r="L90" s="155">
        <f t="shared" si="71"/>
        <v>0.77829664360127038</v>
      </c>
      <c r="M90" s="155">
        <f t="shared" si="72"/>
        <v>0.75926773130308556</v>
      </c>
      <c r="N90" s="4"/>
      <c r="O90" s="116">
        <f t="shared" si="59"/>
        <v>1</v>
      </c>
      <c r="P90" s="94">
        <f t="shared" si="73"/>
        <v>8.3333333333333329E-2</v>
      </c>
      <c r="Q90" s="155">
        <f t="shared" si="74"/>
        <v>0.77829664360127038</v>
      </c>
      <c r="R90" s="155">
        <f t="shared" si="75"/>
        <v>0.75926773130308556</v>
      </c>
      <c r="S90" s="51"/>
      <c r="T90" s="139">
        <f t="shared" si="60"/>
        <v>8.3175297485096111E-2</v>
      </c>
      <c r="U90" s="136">
        <f t="shared" si="76"/>
        <v>8.3175297485096111E-2</v>
      </c>
      <c r="W90" s="63">
        <f t="shared" si="51"/>
        <v>-567444.96540190559</v>
      </c>
      <c r="X90" s="63">
        <f t="shared" si="77"/>
        <v>344728.12303658418</v>
      </c>
      <c r="Y90" s="63">
        <f t="shared" si="78"/>
        <v>85116.744810285833</v>
      </c>
      <c r="Z90" s="63">
        <v>0</v>
      </c>
      <c r="AA90" s="63">
        <f t="shared" ca="1" si="61"/>
        <v>0</v>
      </c>
      <c r="AB90" s="64">
        <f t="shared" ca="1" si="62"/>
        <v>-137600.09755503558</v>
      </c>
      <c r="AC90" s="51"/>
      <c r="AD90" s="51">
        <f t="shared" si="52"/>
        <v>-553571.25726060313</v>
      </c>
      <c r="AE90" s="64">
        <f t="shared" si="63"/>
        <v>336299.71559847926</v>
      </c>
      <c r="AF90" s="64">
        <f t="shared" si="64"/>
        <v>83035.688589090452</v>
      </c>
      <c r="AG90" s="51">
        <f t="shared" si="53"/>
        <v>0</v>
      </c>
      <c r="AH90" s="64">
        <f t="shared" ca="1" si="65"/>
        <v>0</v>
      </c>
      <c r="AI90" s="64">
        <f t="shared" ca="1" si="66"/>
        <v>-134235.85307303342</v>
      </c>
      <c r="AJ90" s="57"/>
      <c r="AK90" s="51">
        <f ca="1">SUM(AD90:AD$97,AG90:AG$97)/D90+SUM(AE91:AF$98,AH91:AH$97)/D90</f>
        <v>-1510802.5888378448</v>
      </c>
      <c r="AL90" s="51">
        <f>SUM(AE91:$AF$98)*$G$14/D90</f>
        <v>75453.456673931432</v>
      </c>
      <c r="AM90" s="51"/>
      <c r="AN90" s="51">
        <f ca="1">-SUM(AD90:$AD$98,AH90:$AH$98)/D90</f>
        <v>4025917.811302226</v>
      </c>
      <c r="AO90" s="51">
        <f ca="1">-SUM(W90:$W$98,AA90:$AA$98)</f>
        <v>4064690.7029216439</v>
      </c>
      <c r="AQ90" s="9">
        <f t="shared" ca="1" si="54"/>
        <v>-3426.1740380497649</v>
      </c>
      <c r="AR90" s="9">
        <f t="shared" si="55"/>
        <v>530.21997194521828</v>
      </c>
      <c r="AS90" s="9">
        <f t="shared" ca="1" si="56"/>
        <v>21100.173102890141</v>
      </c>
    </row>
    <row r="91" spans="1:45" outlineLevel="1" x14ac:dyDescent="0.55000000000000004">
      <c r="A91" s="9"/>
      <c r="B91" s="1" t="s">
        <v>17</v>
      </c>
      <c r="C91" s="3">
        <v>6</v>
      </c>
      <c r="D91" s="87">
        <f t="shared" si="67"/>
        <v>0.9707328852712489</v>
      </c>
      <c r="E91" s="4"/>
      <c r="F91" s="112">
        <f t="shared" si="57"/>
        <v>0.71554175279993271</v>
      </c>
      <c r="G91" s="84">
        <f t="shared" si="68"/>
        <v>0.73606752000123676</v>
      </c>
      <c r="H91" s="154">
        <f t="shared" si="69"/>
        <v>0.69459991022752543</v>
      </c>
      <c r="I91" s="4"/>
      <c r="J91" s="116">
        <f t="shared" si="58"/>
        <v>1</v>
      </c>
      <c r="K91" s="156">
        <f t="shared" si="70"/>
        <v>8.3333333333333329E-2</v>
      </c>
      <c r="L91" s="155">
        <f t="shared" si="71"/>
        <v>0.73606752000123676</v>
      </c>
      <c r="M91" s="155">
        <f t="shared" si="72"/>
        <v>0.7145249474452533</v>
      </c>
      <c r="N91" s="4"/>
      <c r="O91" s="116">
        <f t="shared" si="59"/>
        <v>1</v>
      </c>
      <c r="P91" s="94">
        <f t="shared" si="73"/>
        <v>8.3333333333333329E-2</v>
      </c>
      <c r="Q91" s="155">
        <f t="shared" si="74"/>
        <v>0.73606752000123676</v>
      </c>
      <c r="R91" s="155">
        <f t="shared" si="75"/>
        <v>0.7145249474452533</v>
      </c>
      <c r="S91" s="51"/>
      <c r="T91" s="139">
        <f t="shared" si="60"/>
        <v>5.1890782453176132E-2</v>
      </c>
      <c r="U91" s="136">
        <f t="shared" si="76"/>
        <v>5.1890782453176132E-2</v>
      </c>
      <c r="W91" s="63">
        <f t="shared" si="51"/>
        <v>-536656.31459994952</v>
      </c>
      <c r="X91" s="63">
        <f t="shared" si="77"/>
        <v>326835.75030892808</v>
      </c>
      <c r="Y91" s="63">
        <f t="shared" si="78"/>
        <v>80498.447189992425</v>
      </c>
      <c r="Z91" s="63">
        <v>0</v>
      </c>
      <c r="AA91" s="63">
        <f t="shared" ca="1" si="61"/>
        <v>0</v>
      </c>
      <c r="AB91" s="64">
        <f t="shared" ca="1" si="62"/>
        <v>-129322.11710102901</v>
      </c>
      <c r="AC91" s="51"/>
      <c r="AD91" s="51">
        <f t="shared" si="52"/>
        <v>-520949.93267064408</v>
      </c>
      <c r="AE91" s="64">
        <f t="shared" si="63"/>
        <v>317270.21090717922</v>
      </c>
      <c r="AF91" s="64">
        <f t="shared" si="64"/>
        <v>78142.4899005966</v>
      </c>
      <c r="AG91" s="51">
        <f t="shared" si="53"/>
        <v>0</v>
      </c>
      <c r="AH91" s="64">
        <f t="shared" ca="1" si="65"/>
        <v>0</v>
      </c>
      <c r="AI91" s="64">
        <f t="shared" ca="1" si="66"/>
        <v>-125537.23186286826</v>
      </c>
      <c r="AJ91" s="57"/>
      <c r="AK91" s="51">
        <f ca="1">SUM(AD91:AD$97,AG91:AG$97)/D91+SUM(AE92:AF$98,AH92:AH$97)/D91</f>
        <v>-1355373.6402690317</v>
      </c>
      <c r="AL91" s="51">
        <f>SUM(AE92:$AF$98)*$G$14/D91</f>
        <v>63607.901091398235</v>
      </c>
      <c r="AM91" s="51"/>
      <c r="AN91" s="51">
        <f ca="1">-SUM(AD91:$AD$98,AH91:$AH$98)/D91</f>
        <v>3475637.0099823065</v>
      </c>
      <c r="AO91" s="51">
        <f ca="1">-SUM(W91:$W$98,AA91:$AA$98)</f>
        <v>3497245.7375197383</v>
      </c>
      <c r="AQ91" s="9">
        <f t="shared" ca="1" si="54"/>
        <v>-3443.1779053574428</v>
      </c>
      <c r="AR91" s="9">
        <f t="shared" si="55"/>
        <v>532.85141738470702</v>
      </c>
      <c r="AS91" s="9">
        <f t="shared" ca="1" si="56"/>
        <v>21204.891818181146</v>
      </c>
    </row>
    <row r="92" spans="1:45" outlineLevel="1" x14ac:dyDescent="0.55000000000000004">
      <c r="A92" s="9"/>
      <c r="B92" s="1" t="s">
        <v>18</v>
      </c>
      <c r="C92" s="3">
        <v>7</v>
      </c>
      <c r="D92" s="87">
        <f t="shared" si="67"/>
        <v>0.96832110791813664</v>
      </c>
      <c r="E92" s="4"/>
      <c r="F92" s="112">
        <f t="shared" si="57"/>
        <v>0.83161897782507621</v>
      </c>
      <c r="G92" s="84">
        <f t="shared" si="68"/>
        <v>0.7735803653125044</v>
      </c>
      <c r="H92" s="154">
        <f t="shared" si="69"/>
        <v>0.8052742099733261</v>
      </c>
      <c r="I92" s="4"/>
      <c r="J92" s="116">
        <f t="shared" si="58"/>
        <v>1</v>
      </c>
      <c r="K92" s="156">
        <f t="shared" si="70"/>
        <v>8.3333333333333329E-2</v>
      </c>
      <c r="L92" s="155">
        <f t="shared" si="71"/>
        <v>0.7735803653125044</v>
      </c>
      <c r="M92" s="155">
        <f t="shared" si="72"/>
        <v>0.74907419640312112</v>
      </c>
      <c r="N92" s="4"/>
      <c r="O92" s="116">
        <f t="shared" si="59"/>
        <v>1</v>
      </c>
      <c r="P92" s="94">
        <f t="shared" si="73"/>
        <v>8.3333333333333329E-2</v>
      </c>
      <c r="Q92" s="155">
        <f t="shared" si="74"/>
        <v>0.7735803653125044</v>
      </c>
      <c r="R92" s="155">
        <f t="shared" si="75"/>
        <v>0.74907419640312112</v>
      </c>
      <c r="S92" s="51"/>
      <c r="T92" s="139">
        <f t="shared" si="60"/>
        <v>2.7830892374108518E-2</v>
      </c>
      <c r="U92" s="136">
        <f t="shared" si="76"/>
        <v>2.7830892374108518E-2</v>
      </c>
      <c r="W92" s="63">
        <f t="shared" si="51"/>
        <v>-623714.23336880712</v>
      </c>
      <c r="X92" s="63">
        <f t="shared" si="77"/>
        <v>316941.59221930109</v>
      </c>
      <c r="Y92" s="63">
        <f t="shared" si="78"/>
        <v>62371.423336880711</v>
      </c>
      <c r="Z92" s="63">
        <v>0</v>
      </c>
      <c r="AA92" s="63">
        <f t="shared" ca="1" si="61"/>
        <v>0</v>
      </c>
      <c r="AB92" s="64">
        <f t="shared" ca="1" si="62"/>
        <v>-244401.21781262531</v>
      </c>
      <c r="AC92" s="51"/>
      <c r="AD92" s="51">
        <f t="shared" si="52"/>
        <v>-603955.65747999458</v>
      </c>
      <c r="AE92" s="64">
        <f t="shared" si="63"/>
        <v>306901.23372313188</v>
      </c>
      <c r="AF92" s="64">
        <f t="shared" si="64"/>
        <v>60395.565747999455</v>
      </c>
      <c r="AG92" s="51">
        <f t="shared" si="53"/>
        <v>0</v>
      </c>
      <c r="AH92" s="64">
        <f t="shared" ca="1" si="65"/>
        <v>0</v>
      </c>
      <c r="AI92" s="64">
        <f t="shared" ca="1" si="66"/>
        <v>-236658.85800886323</v>
      </c>
      <c r="AJ92" s="57"/>
      <c r="AK92" s="51">
        <f ca="1">SUM(AD92:AD$97,AG92:AG$97)/D92+SUM(AE93:AF$98,AH93:AH$97)/D92</f>
        <v>-1200069.503532585</v>
      </c>
      <c r="AL92" s="51">
        <f>SUM(AE93:$AF$98)*$G$14/D92</f>
        <v>52386.937508188523</v>
      </c>
      <c r="AM92" s="51"/>
      <c r="AN92" s="51">
        <f ca="1">-SUM(AD92:$AD$98,AH92:$AH$98)/D92</f>
        <v>2946300.7538055358</v>
      </c>
      <c r="AO92" s="51">
        <f ca="1">-SUM(W92:$W$98,AA92:$AA$98)</f>
        <v>2960589.4229197884</v>
      </c>
      <c r="AQ92" s="9">
        <f t="shared" ca="1" si="54"/>
        <v>-1436.1904039254878</v>
      </c>
      <c r="AR92" s="9">
        <f t="shared" si="55"/>
        <v>378.2411453518871</v>
      </c>
      <c r="AS92" s="9">
        <f t="shared" ca="1" si="56"/>
        <v>14044.228582321666</v>
      </c>
    </row>
    <row r="93" spans="1:45" outlineLevel="1" x14ac:dyDescent="0.55000000000000004">
      <c r="A93" s="9"/>
      <c r="B93" s="1" t="s">
        <v>19</v>
      </c>
      <c r="C93" s="3">
        <v>8</v>
      </c>
      <c r="D93" s="87">
        <f t="shared" si="67"/>
        <v>0.96591532260473922</v>
      </c>
      <c r="E93" s="4"/>
      <c r="F93" s="112">
        <f t="shared" si="57"/>
        <v>0.81</v>
      </c>
      <c r="G93" s="84">
        <f t="shared" si="68"/>
        <v>0.82080948891253813</v>
      </c>
      <c r="H93" s="154">
        <f t="shared" si="69"/>
        <v>0.7823914113098388</v>
      </c>
      <c r="I93" s="4"/>
      <c r="J93" s="116">
        <f t="shared" si="58"/>
        <v>1</v>
      </c>
      <c r="K93" s="156">
        <f t="shared" si="70"/>
        <v>8.3333333333333329E-2</v>
      </c>
      <c r="L93" s="155">
        <f t="shared" si="71"/>
        <v>0.82080948891253813</v>
      </c>
      <c r="M93" s="155">
        <f t="shared" si="72"/>
        <v>0.79283246227998538</v>
      </c>
      <c r="N93" s="4"/>
      <c r="O93" s="116">
        <f t="shared" si="59"/>
        <v>1</v>
      </c>
      <c r="P93" s="94">
        <f t="shared" si="73"/>
        <v>8.3333333333333329E-2</v>
      </c>
      <c r="Q93" s="155">
        <f t="shared" si="74"/>
        <v>0.82080948891253813</v>
      </c>
      <c r="R93" s="155">
        <f t="shared" si="75"/>
        <v>0.79283246227998538</v>
      </c>
      <c r="S93" s="51"/>
      <c r="T93" s="139">
        <f t="shared" si="60"/>
        <v>1.5225286106495761E-2</v>
      </c>
      <c r="U93" s="136">
        <f t="shared" si="76"/>
        <v>1.5225286106495761E-2</v>
      </c>
      <c r="W93" s="63">
        <f t="shared" si="51"/>
        <v>-607500</v>
      </c>
      <c r="X93" s="63">
        <f t="shared" si="77"/>
        <v>309087.45467440371</v>
      </c>
      <c r="Y93" s="63">
        <f t="shared" si="78"/>
        <v>60750.000000000007</v>
      </c>
      <c r="Z93" s="63">
        <v>0</v>
      </c>
      <c r="AA93" s="63">
        <f t="shared" ca="1" si="61"/>
        <v>0</v>
      </c>
      <c r="AB93" s="64">
        <f t="shared" ca="1" si="62"/>
        <v>-237662.54532559629</v>
      </c>
      <c r="AC93" s="51"/>
      <c r="AD93" s="51">
        <f t="shared" si="52"/>
        <v>-586793.55848237907</v>
      </c>
      <c r="AE93" s="64">
        <f t="shared" si="63"/>
        <v>298552.30849490437</v>
      </c>
      <c r="AF93" s="64">
        <f t="shared" si="64"/>
        <v>58679.355848237916</v>
      </c>
      <c r="AG93" s="51">
        <f t="shared" si="53"/>
        <v>0</v>
      </c>
      <c r="AH93" s="64">
        <f t="shared" ca="1" si="65"/>
        <v>0</v>
      </c>
      <c r="AI93" s="64">
        <f t="shared" ca="1" si="66"/>
        <v>-229561.89413923677</v>
      </c>
      <c r="AJ93" s="57"/>
      <c r="AK93" s="51">
        <f ca="1">SUM(AD93:AD$97,AG93:AG$97)/D93+SUM(AE94:AF$98,AH94:AH$97)/D93</f>
        <v>-947628.24098727782</v>
      </c>
      <c r="AL93" s="51">
        <f>SUM(AE94:$AF$98)*$G$14/D93</f>
        <v>41422.292929548683</v>
      </c>
      <c r="AM93" s="51"/>
      <c r="AN93" s="51">
        <f ca="1">-SUM(AD93:$AD$98,AH93:$AH$98)/D93</f>
        <v>2328371.3386389008</v>
      </c>
      <c r="AO93" s="51">
        <f ca="1">-SUM(W93:$W$98,AA93:$AA$98)</f>
        <v>2336875.1895509819</v>
      </c>
      <c r="AQ93" s="9">
        <f t="shared" ca="1" si="54"/>
        <v>-18.422500044107437</v>
      </c>
      <c r="AR93" s="9">
        <f t="shared" si="55"/>
        <v>250.60460568386043</v>
      </c>
      <c r="AS93" s="9">
        <f t="shared" ca="1" si="56"/>
        <v>8371.9093561731279</v>
      </c>
    </row>
    <row r="94" spans="1:45" outlineLevel="1" x14ac:dyDescent="0.55000000000000004">
      <c r="A94" s="9"/>
      <c r="B94" s="1" t="s">
        <v>20</v>
      </c>
      <c r="C94" s="3">
        <v>9</v>
      </c>
      <c r="D94" s="87">
        <f t="shared" si="67"/>
        <v>0.96351551444388639</v>
      </c>
      <c r="E94" s="4"/>
      <c r="F94" s="112">
        <f t="shared" si="57"/>
        <v>0.78894303460449045</v>
      </c>
      <c r="G94" s="84">
        <f t="shared" si="68"/>
        <v>0.7994715173022453</v>
      </c>
      <c r="H94" s="154">
        <f t="shared" si="69"/>
        <v>0.7601588538538665</v>
      </c>
      <c r="I94" s="4"/>
      <c r="J94" s="116">
        <f t="shared" si="58"/>
        <v>1</v>
      </c>
      <c r="K94" s="156">
        <f t="shared" si="70"/>
        <v>8.3333333333333329E-2</v>
      </c>
      <c r="L94" s="155">
        <f t="shared" si="71"/>
        <v>0.7994715173022453</v>
      </c>
      <c r="M94" s="155">
        <f t="shared" si="72"/>
        <v>0.77030321027670734</v>
      </c>
      <c r="N94" s="4"/>
      <c r="O94" s="116">
        <f t="shared" si="59"/>
        <v>1</v>
      </c>
      <c r="P94" s="94">
        <f t="shared" si="73"/>
        <v>8.3333333333333329E-2</v>
      </c>
      <c r="Q94" s="155">
        <f t="shared" si="74"/>
        <v>0.7994715173022453</v>
      </c>
      <c r="R94" s="155">
        <f t="shared" si="75"/>
        <v>0.77030321027670734</v>
      </c>
      <c r="S94" s="51"/>
      <c r="T94" s="139">
        <f t="shared" si="60"/>
        <v>1.3868361840445591E-2</v>
      </c>
      <c r="U94" s="136">
        <f t="shared" si="76"/>
        <v>1.3868361840445591E-2</v>
      </c>
      <c r="W94" s="63">
        <f t="shared" si="51"/>
        <v>-591707.27595336782</v>
      </c>
      <c r="X94" s="63">
        <f t="shared" si="77"/>
        <v>301427.95070896874</v>
      </c>
      <c r="Y94" s="63">
        <f t="shared" si="78"/>
        <v>59170.727595336772</v>
      </c>
      <c r="Z94" s="63">
        <v>0</v>
      </c>
      <c r="AA94" s="63">
        <f t="shared" ca="1" si="61"/>
        <v>0</v>
      </c>
      <c r="AB94" s="64">
        <f t="shared" ca="1" si="62"/>
        <v>-231108.59764906231</v>
      </c>
      <c r="AC94" s="51"/>
      <c r="AD94" s="51">
        <f t="shared" si="52"/>
        <v>-570119.14039039984</v>
      </c>
      <c r="AE94" s="64">
        <f t="shared" si="63"/>
        <v>290430.50699511846</v>
      </c>
      <c r="AF94" s="64">
        <f t="shared" si="64"/>
        <v>57011.914039039977</v>
      </c>
      <c r="AG94" s="51">
        <f t="shared" si="53"/>
        <v>0</v>
      </c>
      <c r="AH94" s="64">
        <f t="shared" ca="1" si="65"/>
        <v>0</v>
      </c>
      <c r="AI94" s="64">
        <f t="shared" ca="1" si="66"/>
        <v>-222676.7193562414</v>
      </c>
      <c r="AJ94" s="57"/>
      <c r="AK94" s="51">
        <f ca="1">SUM(AD94:AD$97,AG94:AG$97)/D94+SUM(AE95:AF$98,AH95:AH$97)/D94</f>
        <v>-701574.06966562697</v>
      </c>
      <c r="AL94" s="51">
        <f>SUM(AE95:$AF$98)*$G$14/D94</f>
        <v>30707.502228570895</v>
      </c>
      <c r="AM94" s="51"/>
      <c r="AN94" s="51">
        <f ca="1">-SUM(AD94:$AD$98,AH94:$AH$98)/D94</f>
        <v>1725157.4772846568</v>
      </c>
      <c r="AO94" s="51">
        <f ca="1">-SUM(W94:$W$98,AA94:$AA$98)</f>
        <v>1729375.1895509816</v>
      </c>
      <c r="AQ94" s="9">
        <f t="shared" ca="1" si="54"/>
        <v>822.3688824394485</v>
      </c>
      <c r="AR94" s="9">
        <f t="shared" si="55"/>
        <v>149.44198193063494</v>
      </c>
      <c r="AS94" s="9">
        <f t="shared" ca="1" si="56"/>
        <v>4159.0305152484216</v>
      </c>
    </row>
    <row r="95" spans="1:45" outlineLevel="1" x14ac:dyDescent="0.55000000000000004">
      <c r="A95" s="9"/>
      <c r="B95" s="1" t="s">
        <v>21</v>
      </c>
      <c r="C95" s="3">
        <v>10</v>
      </c>
      <c r="D95" s="87">
        <f t="shared" si="67"/>
        <v>0.96112166858539494</v>
      </c>
      <c r="E95" s="4"/>
      <c r="F95" s="112">
        <f t="shared" si="57"/>
        <v>0.76843347142091623</v>
      </c>
      <c r="G95" s="84">
        <f t="shared" si="68"/>
        <v>0.77868825301270328</v>
      </c>
      <c r="H95" s="154">
        <f t="shared" si="69"/>
        <v>0.73855806024893844</v>
      </c>
      <c r="I95" s="4"/>
      <c r="J95" s="116">
        <f t="shared" si="58"/>
        <v>1</v>
      </c>
      <c r="K95" s="156">
        <f t="shared" si="70"/>
        <v>8.3333333333333329E-2</v>
      </c>
      <c r="L95" s="155">
        <f t="shared" si="71"/>
        <v>0.77868825301270328</v>
      </c>
      <c r="M95" s="155">
        <f t="shared" si="72"/>
        <v>0.74841415304341552</v>
      </c>
      <c r="N95" s="4"/>
      <c r="O95" s="116">
        <f t="shared" si="59"/>
        <v>1</v>
      </c>
      <c r="P95" s="94">
        <f t="shared" si="73"/>
        <v>8.3333333333333329E-2</v>
      </c>
      <c r="Q95" s="155">
        <f t="shared" si="74"/>
        <v>0.77868825301270328</v>
      </c>
      <c r="R95" s="155">
        <f t="shared" si="75"/>
        <v>0.74841415304341552</v>
      </c>
      <c r="S95" s="51"/>
      <c r="T95" s="139">
        <f t="shared" si="60"/>
        <v>5.0809898881113407E-3</v>
      </c>
      <c r="U95" s="136">
        <f t="shared" si="76"/>
        <v>5.0809898881113407E-3</v>
      </c>
      <c r="W95" s="63">
        <f t="shared" si="51"/>
        <v>-576325.1035656872</v>
      </c>
      <c r="X95" s="63">
        <f t="shared" si="77"/>
        <v>293958.25710338255</v>
      </c>
      <c r="Y95" s="63">
        <f t="shared" si="78"/>
        <v>57632.510356568717</v>
      </c>
      <c r="Z95" s="63">
        <v>0</v>
      </c>
      <c r="AA95" s="63">
        <f t="shared" ca="1" si="61"/>
        <v>0</v>
      </c>
      <c r="AB95" s="64">
        <f t="shared" ca="1" si="62"/>
        <v>-224734.33610573591</v>
      </c>
      <c r="AC95" s="51"/>
      <c r="AD95" s="51">
        <f t="shared" si="52"/>
        <v>-553918.54518670379</v>
      </c>
      <c r="AE95" s="64">
        <f t="shared" si="63"/>
        <v>282529.65056165756</v>
      </c>
      <c r="AF95" s="64">
        <f t="shared" si="64"/>
        <v>55391.854518670378</v>
      </c>
      <c r="AG95" s="51">
        <f t="shared" si="53"/>
        <v>0</v>
      </c>
      <c r="AH95" s="64">
        <f t="shared" ca="1" si="65"/>
        <v>0</v>
      </c>
      <c r="AI95" s="64">
        <f t="shared" ca="1" si="66"/>
        <v>-215997.04010637585</v>
      </c>
      <c r="AJ95" s="57"/>
      <c r="AK95" s="51">
        <f ca="1">SUM(AD95:AD$97,AG95:AG$97)/D95+SUM(AE96:AF$98,AH96:AH$97)/D95</f>
        <v>-461731.20412264019</v>
      </c>
      <c r="AL95" s="51">
        <f>SUM(AE96:$AF$98)*$G$14/D95</f>
        <v>20236.26174536753</v>
      </c>
      <c r="AM95" s="51"/>
      <c r="AN95" s="51">
        <f ca="1">-SUM(AD95:$AD$98,AH95:$AH$98)/D95</f>
        <v>1136273.2623015579</v>
      </c>
      <c r="AO95" s="51">
        <f ca="1">-SUM(W95:$W$98,AA95:$AA$98)</f>
        <v>1137667.9135976136</v>
      </c>
      <c r="AQ95" s="9">
        <f t="shared" ca="1" si="54"/>
        <v>1098.068671862362</v>
      </c>
      <c r="AR95" s="9">
        <f t="shared" si="55"/>
        <v>74.266960511893558</v>
      </c>
      <c r="AS95" s="9">
        <f t="shared" ca="1" si="56"/>
        <v>1377.4966785339639</v>
      </c>
    </row>
    <row r="96" spans="1:45" outlineLevel="1" x14ac:dyDescent="0.55000000000000004">
      <c r="A96" s="9"/>
      <c r="B96" s="1" t="s">
        <v>22</v>
      </c>
      <c r="C96" s="3">
        <v>11</v>
      </c>
      <c r="D96" s="87">
        <f t="shared" si="67"/>
        <v>0.95873377021597694</v>
      </c>
      <c r="E96" s="4"/>
      <c r="F96" s="112">
        <f t="shared" si="57"/>
        <v>0.74845708004256861</v>
      </c>
      <c r="G96" s="84">
        <f t="shared" si="68"/>
        <v>0.75844527573174236</v>
      </c>
      <c r="H96" s="154">
        <f t="shared" si="69"/>
        <v>0.71757107819405308</v>
      </c>
      <c r="I96" s="4"/>
      <c r="J96" s="116">
        <f t="shared" si="58"/>
        <v>1</v>
      </c>
      <c r="K96" s="156">
        <f t="shared" si="70"/>
        <v>8.3333333333333329E-2</v>
      </c>
      <c r="L96" s="155">
        <f t="shared" si="71"/>
        <v>0.75844527573174236</v>
      </c>
      <c r="M96" s="155">
        <f t="shared" si="72"/>
        <v>0.72714709870478955</v>
      </c>
      <c r="N96" s="4"/>
      <c r="O96" s="116">
        <f t="shared" si="59"/>
        <v>1</v>
      </c>
      <c r="P96" s="94">
        <f t="shared" si="73"/>
        <v>8.3333333333333329E-2</v>
      </c>
      <c r="Q96" s="155">
        <f t="shared" si="74"/>
        <v>0.75844527573174236</v>
      </c>
      <c r="R96" s="155">
        <f t="shared" si="75"/>
        <v>0.72714709870478955</v>
      </c>
      <c r="S96" s="51"/>
      <c r="T96" s="139">
        <f t="shared" si="60"/>
        <v>6.0769058883075608E-3</v>
      </c>
      <c r="U96" s="136">
        <f t="shared" si="76"/>
        <v>6.0769058883075608E-3</v>
      </c>
      <c r="W96" s="63">
        <f t="shared" si="51"/>
        <v>-561342.81003192649</v>
      </c>
      <c r="X96" s="63">
        <f t="shared" si="77"/>
        <v>286673.67016235786</v>
      </c>
      <c r="Y96" s="63">
        <f t="shared" si="78"/>
        <v>56134.281003192642</v>
      </c>
      <c r="Z96" s="63">
        <v>0</v>
      </c>
      <c r="AA96" s="63">
        <f t="shared" ca="1" si="61"/>
        <v>0</v>
      </c>
      <c r="AB96" s="64">
        <f t="shared" ca="1" si="62"/>
        <v>-218534.85886637599</v>
      </c>
      <c r="AC96" s="51"/>
      <c r="AD96" s="51">
        <f t="shared" si="52"/>
        <v>-538178.3086455398</v>
      </c>
      <c r="AE96" s="64">
        <f t="shared" si="63"/>
        <v>274843.72861640877</v>
      </c>
      <c r="AF96" s="64">
        <f t="shared" si="64"/>
        <v>53817.830864553973</v>
      </c>
      <c r="AG96" s="51">
        <f t="shared" si="53"/>
        <v>0</v>
      </c>
      <c r="AH96" s="64">
        <f t="shared" ca="1" si="65"/>
        <v>0</v>
      </c>
      <c r="AI96" s="64">
        <f t="shared" ca="1" si="66"/>
        <v>-209516.74916457705</v>
      </c>
      <c r="AJ96" s="57"/>
      <c r="AK96" s="51">
        <f ca="1">SUM(AD96:AD$97,AG96:AG$97)/D96+SUM(AE97:AF$98,AH97:AH$97)/D96</f>
        <v>-227928.63506761339</v>
      </c>
      <c r="AL96" s="51">
        <f>SUM(AE97:$AF$98)*$G$14/D96</f>
        <v>10002.425248929392</v>
      </c>
      <c r="AM96" s="51"/>
      <c r="AN96" s="51">
        <f ca="1">-SUM(AD96:$AD$98,AH96:$AH$98)/D96</f>
        <v>561342.81003192649</v>
      </c>
      <c r="AO96" s="51">
        <f ca="1">-SUM(W96:$W$98,AA96:$AA$98)</f>
        <v>561342.81003192649</v>
      </c>
      <c r="AQ96" s="9">
        <f t="shared" ca="1" si="54"/>
        <v>820.2132847912726</v>
      </c>
      <c r="AR96" s="9">
        <f t="shared" si="55"/>
        <v>24.606398543737669</v>
      </c>
      <c r="AS96" s="9">
        <f t="shared" ca="1" si="56"/>
        <v>0</v>
      </c>
    </row>
    <row r="97" spans="1:52" outlineLevel="1" x14ac:dyDescent="0.55000000000000004">
      <c r="A97" s="9"/>
      <c r="B97" s="1" t="s">
        <v>23</v>
      </c>
      <c r="C97" s="3">
        <v>12</v>
      </c>
      <c r="D97" s="87">
        <f t="shared" si="67"/>
        <v>0.95635180455914781</v>
      </c>
      <c r="E97" s="4"/>
      <c r="F97" s="112">
        <f t="shared" si="57"/>
        <v>0.72900000000000009</v>
      </c>
      <c r="G97" s="84">
        <f t="shared" si="68"/>
        <v>0.73872854002128441</v>
      </c>
      <c r="H97" s="154">
        <f t="shared" si="69"/>
        <v>0.6971804655236189</v>
      </c>
      <c r="I97" s="4"/>
      <c r="J97" s="116">
        <f t="shared" si="58"/>
        <v>1</v>
      </c>
      <c r="K97" s="156">
        <f t="shared" si="70"/>
        <v>8.3333333333333329E-2</v>
      </c>
      <c r="L97" s="155">
        <f t="shared" si="71"/>
        <v>0.73872854002128441</v>
      </c>
      <c r="M97" s="155">
        <f t="shared" si="72"/>
        <v>0.70648437232869998</v>
      </c>
      <c r="N97" s="4"/>
      <c r="O97" s="116">
        <f t="shared" si="59"/>
        <v>1</v>
      </c>
      <c r="P97" s="94">
        <f t="shared" si="73"/>
        <v>8.3333333333333329E-2</v>
      </c>
      <c r="Q97" s="155">
        <f t="shared" si="74"/>
        <v>0.73872854002128441</v>
      </c>
      <c r="R97" s="155">
        <f t="shared" si="75"/>
        <v>0.70648437232869998</v>
      </c>
      <c r="S97" s="51"/>
      <c r="T97" s="139">
        <f t="shared" si="60"/>
        <v>6.7969588236102014E-3</v>
      </c>
      <c r="U97" s="136">
        <f t="shared" si="76"/>
        <v>6.7969588236102014E-3</v>
      </c>
      <c r="W97" s="63">
        <f t="shared" si="51"/>
        <v>0</v>
      </c>
      <c r="X97" s="63">
        <f t="shared" si="77"/>
        <v>279569.60275299812</v>
      </c>
      <c r="Y97" s="63">
        <f t="shared" si="78"/>
        <v>54675.000000000007</v>
      </c>
      <c r="Z97" s="63">
        <v>0</v>
      </c>
      <c r="AA97" s="63">
        <f t="shared" ca="1" si="61"/>
        <v>0</v>
      </c>
      <c r="AB97" s="64">
        <f t="shared" ca="1" si="62"/>
        <v>334244.60275299812</v>
      </c>
      <c r="AC97" s="51"/>
      <c r="AD97" s="51">
        <f t="shared" si="52"/>
        <v>0</v>
      </c>
      <c r="AE97" s="64">
        <f t="shared" si="63"/>
        <v>267366.89409271383</v>
      </c>
      <c r="AF97" s="64">
        <f t="shared" si="64"/>
        <v>52288.534914271411</v>
      </c>
      <c r="AG97" s="51">
        <f t="shared" si="53"/>
        <v>0</v>
      </c>
      <c r="AH97" s="64">
        <f t="shared" ca="1" si="65"/>
        <v>0</v>
      </c>
      <c r="AI97" s="64">
        <f t="shared" ca="1" si="66"/>
        <v>319655.42900698527</v>
      </c>
      <c r="AJ97" s="57"/>
      <c r="AK97" s="51">
        <f ca="1">SUM(AD97:AD$97,AG97:AG$97)/D97+SUM(AE98:AF$98,AH$97:AH98)/D97</f>
        <v>0</v>
      </c>
      <c r="AL97" s="51">
        <f>SUM(AE98:$AF$98)*$G$14/D97</f>
        <v>0</v>
      </c>
      <c r="AM97" s="51"/>
      <c r="AN97" s="51">
        <f ca="1">-SUM(AD97:$AD$98,AH97:$AH$98)/D97</f>
        <v>0</v>
      </c>
      <c r="AO97" s="51">
        <f ca="1">-SUM(W97:$W$98,AA97:$AA$98)</f>
        <v>0</v>
      </c>
      <c r="AQ97" s="9">
        <f t="shared" ca="1" si="54"/>
        <v>0</v>
      </c>
      <c r="AR97" s="9">
        <f t="shared" si="55"/>
        <v>0</v>
      </c>
      <c r="AS97" s="9">
        <f t="shared" ca="1" si="56"/>
        <v>0</v>
      </c>
    </row>
    <row r="98" spans="1:52" outlineLevel="1" x14ac:dyDescent="0.55000000000000004">
      <c r="B98" s="8"/>
      <c r="C98" s="6"/>
      <c r="D98" s="7"/>
      <c r="E98" s="2"/>
      <c r="F98" s="113"/>
      <c r="G98" s="85"/>
      <c r="H98" s="79"/>
      <c r="I98" s="2"/>
      <c r="J98" s="6"/>
      <c r="K98" s="6"/>
      <c r="L98" s="71"/>
      <c r="M98" s="90"/>
      <c r="N98" s="2"/>
      <c r="O98" s="12"/>
      <c r="P98" s="12"/>
      <c r="Q98" s="50"/>
      <c r="R98" s="90"/>
      <c r="S98" s="55"/>
      <c r="T98" s="137"/>
      <c r="U98" s="137"/>
      <c r="W98" s="66"/>
      <c r="X98" s="66"/>
      <c r="Y98" s="66"/>
      <c r="Z98" s="66"/>
      <c r="AA98" s="66"/>
      <c r="AB98" s="66"/>
      <c r="AC98" s="55"/>
      <c r="AD98" s="67"/>
      <c r="AE98" s="68"/>
      <c r="AF98" s="68"/>
      <c r="AG98" s="67"/>
      <c r="AH98" s="67"/>
      <c r="AI98" s="68"/>
      <c r="AJ98" s="57"/>
      <c r="AK98" s="67"/>
      <c r="AL98" s="67"/>
      <c r="AM98" s="51"/>
      <c r="AN98" s="122"/>
      <c r="AO98" s="122"/>
      <c r="AQ98" s="67"/>
      <c r="AR98" s="67"/>
      <c r="AS98" s="67"/>
    </row>
    <row r="99" spans="1:52" outlineLevel="1" x14ac:dyDescent="0.55000000000000004">
      <c r="A99" s="9"/>
      <c r="B99" s="4"/>
      <c r="C99" s="4"/>
      <c r="D99" s="4"/>
      <c r="E99" s="4"/>
      <c r="F99" s="3"/>
      <c r="G99" s="3"/>
      <c r="H99" s="4"/>
      <c r="I99" s="4"/>
      <c r="J99" s="4"/>
      <c r="K99" s="4"/>
      <c r="L99" s="51"/>
      <c r="M99" s="51"/>
      <c r="N99" s="4"/>
      <c r="O99" s="4"/>
      <c r="P99" s="4"/>
      <c r="Q99" s="51"/>
      <c r="R99" s="51"/>
      <c r="S99" s="51"/>
      <c r="T99" s="4"/>
      <c r="U99" s="4"/>
      <c r="W99" s="51"/>
      <c r="X99" s="51"/>
      <c r="Y99" s="51"/>
      <c r="Z99" s="51"/>
      <c r="AA99" s="51"/>
      <c r="AB99" s="51"/>
      <c r="AC99" s="51"/>
      <c r="AD99" s="51"/>
      <c r="AE99" s="51"/>
      <c r="AF99" s="51"/>
      <c r="AG99" s="51"/>
      <c r="AH99" s="51"/>
      <c r="AI99" s="51"/>
      <c r="AJ99" s="57"/>
      <c r="AK99" s="51"/>
      <c r="AL99" s="51"/>
      <c r="AM99" s="51"/>
      <c r="AN99" s="70"/>
      <c r="AO99" s="70"/>
      <c r="AQ99" s="51"/>
      <c r="AR99" s="51"/>
      <c r="AS99" s="51"/>
    </row>
    <row r="100" spans="1:52" outlineLevel="1" x14ac:dyDescent="0.55000000000000004">
      <c r="A100" s="9"/>
      <c r="B100" s="24"/>
      <c r="C100" s="24"/>
      <c r="D100" s="25"/>
      <c r="E100" s="4"/>
      <c r="F100" s="26"/>
      <c r="G100" s="26"/>
      <c r="H100" s="26"/>
      <c r="I100" s="4"/>
      <c r="J100" s="80">
        <f>SUM(J86:J97)</f>
        <v>12</v>
      </c>
      <c r="K100" s="95">
        <f>SUM(K86:K97)</f>
        <v>1</v>
      </c>
      <c r="L100" s="81">
        <f>SUM(L86:L97)</f>
        <v>9.7701534146510696</v>
      </c>
      <c r="M100" s="81">
        <f>SUM(M86:M97)</f>
        <v>9.5112800736761045</v>
      </c>
      <c r="N100" s="4"/>
      <c r="O100" s="80">
        <f>SUM(O86:O97)</f>
        <v>12</v>
      </c>
      <c r="P100" s="95">
        <f>SUM(P86:P97)</f>
        <v>1</v>
      </c>
      <c r="Q100" s="81">
        <f>SUM(Q86:Q97)</f>
        <v>9.7701534146510696</v>
      </c>
      <c r="R100" s="81">
        <f>SUM(R86:R97)</f>
        <v>9.5112800736761045</v>
      </c>
      <c r="S100" s="52"/>
      <c r="T100" s="80">
        <f>SUM(T86:T97)</f>
        <v>1</v>
      </c>
      <c r="U100" s="95">
        <f>SUM(U86:U97)</f>
        <v>1</v>
      </c>
      <c r="W100" s="52">
        <f t="shared" ref="W100:AB100" si="79">SUM(W85:W97)</f>
        <v>-7429240.0609883014</v>
      </c>
      <c r="X100" s="52">
        <f t="shared" si="79"/>
        <v>4037470.8119808179</v>
      </c>
      <c r="Y100" s="52">
        <f t="shared" si="79"/>
        <v>908531.53800225561</v>
      </c>
      <c r="Z100" s="52">
        <f t="shared" si="79"/>
        <v>-900000</v>
      </c>
      <c r="AA100" s="52">
        <f t="shared" ca="1" si="79"/>
        <v>0</v>
      </c>
      <c r="AB100" s="52">
        <f t="shared" ca="1" si="79"/>
        <v>-3383237.7110052276</v>
      </c>
      <c r="AC100" s="51"/>
      <c r="AD100" s="52">
        <f t="shared" ref="AD100:AI100" si="80">SUM(AD85:AD97)</f>
        <v>-7260806.1670836005</v>
      </c>
      <c r="AE100" s="52">
        <f t="shared" si="80"/>
        <v>3933567.2688338435</v>
      </c>
      <c r="AF100" s="52">
        <f t="shared" si="80"/>
        <v>886261.19946756028</v>
      </c>
      <c r="AG100" s="52">
        <f t="shared" si="80"/>
        <v>-900000</v>
      </c>
      <c r="AH100" s="52">
        <f t="shared" ca="1" si="80"/>
        <v>0</v>
      </c>
      <c r="AI100" s="52">
        <f t="shared" ca="1" si="80"/>
        <v>-3340977.6987821958</v>
      </c>
      <c r="AJ100" s="52"/>
      <c r="AK100" s="52"/>
      <c r="AL100" s="52"/>
      <c r="AM100" s="51"/>
      <c r="AN100" s="70"/>
      <c r="AO100" s="70"/>
      <c r="AQ100" s="52"/>
      <c r="AR100" s="52"/>
      <c r="AS100" s="52"/>
    </row>
    <row r="101" spans="1:52" ht="15.3" x14ac:dyDescent="0.55000000000000004">
      <c r="A101" s="9"/>
      <c r="B101" s="24"/>
      <c r="C101" s="24"/>
      <c r="D101" s="4"/>
      <c r="E101" s="4"/>
      <c r="F101" s="4"/>
      <c r="G101" s="4"/>
      <c r="H101" s="4"/>
      <c r="I101" s="4"/>
      <c r="J101" s="24"/>
      <c r="K101" s="24"/>
      <c r="L101" s="52"/>
      <c r="M101" s="52"/>
      <c r="N101" s="4"/>
      <c r="O101" s="24"/>
      <c r="P101" s="24"/>
      <c r="Q101" s="52"/>
      <c r="R101" s="52"/>
      <c r="S101" s="51"/>
      <c r="T101" s="52"/>
      <c r="U101" s="72"/>
      <c r="V101" s="72"/>
      <c r="W101" s="52"/>
      <c r="X101" s="52"/>
      <c r="Y101" s="52"/>
      <c r="Z101" s="51"/>
      <c r="AA101" s="52"/>
      <c r="AB101" s="73"/>
      <c r="AC101" s="73"/>
      <c r="AD101" s="52"/>
      <c r="AE101" s="52"/>
      <c r="AF101" s="52"/>
      <c r="AG101" s="57"/>
      <c r="AH101" s="52"/>
      <c r="AI101" s="52"/>
      <c r="AJ101" s="51"/>
      <c r="AK101" s="51"/>
      <c r="AL101" s="51"/>
    </row>
    <row r="102" spans="1:52" ht="15.3" x14ac:dyDescent="0.55000000000000004">
      <c r="A102" s="9"/>
      <c r="B102" s="24"/>
      <c r="C102" s="24"/>
      <c r="D102" s="4"/>
      <c r="E102" s="4"/>
      <c r="F102" s="4"/>
      <c r="G102" s="4"/>
      <c r="H102" s="4"/>
      <c r="I102" s="4"/>
      <c r="J102" s="24"/>
      <c r="K102" s="24"/>
      <c r="L102" s="52"/>
      <c r="M102" s="52"/>
      <c r="N102" s="4"/>
      <c r="O102" s="24"/>
      <c r="P102" s="24"/>
      <c r="Q102" s="52"/>
      <c r="R102" s="52"/>
      <c r="S102" s="51"/>
      <c r="T102" s="52"/>
      <c r="U102" s="72"/>
      <c r="V102" s="72"/>
      <c r="W102" s="52"/>
      <c r="X102" s="52"/>
      <c r="Y102" s="52"/>
      <c r="Z102" s="51"/>
      <c r="AA102" s="52"/>
      <c r="AB102" s="73"/>
      <c r="AC102" s="73"/>
      <c r="AD102" s="52"/>
      <c r="AE102" s="52"/>
      <c r="AF102" s="52"/>
      <c r="AG102" s="57"/>
      <c r="AH102" s="52"/>
      <c r="AI102" s="52"/>
      <c r="AJ102" s="51"/>
      <c r="AK102" s="51"/>
      <c r="AL102" s="51"/>
    </row>
    <row r="103" spans="1:52" ht="18.3" x14ac:dyDescent="0.55000000000000004">
      <c r="A103" s="2"/>
      <c r="B103" s="144" t="s">
        <v>174</v>
      </c>
      <c r="C103" s="108"/>
      <c r="D103" s="109"/>
      <c r="H103" s="106"/>
      <c r="J103" s="2"/>
      <c r="K103" s="2"/>
      <c r="N103" s="2"/>
      <c r="O103" s="2"/>
      <c r="P103" s="2"/>
      <c r="Q103" s="2"/>
      <c r="S103" s="2"/>
      <c r="T103" s="2"/>
      <c r="U103" s="2"/>
      <c r="V103" s="2"/>
      <c r="W103" s="2"/>
      <c r="X103" s="2"/>
      <c r="Y103" s="2"/>
      <c r="Z103" s="2"/>
      <c r="AA103" s="22"/>
      <c r="AB103" s="2"/>
      <c r="AC103" s="2"/>
      <c r="AD103" s="2"/>
      <c r="AE103" s="2"/>
      <c r="AF103" s="2"/>
      <c r="AG103" s="21"/>
      <c r="AH103" s="2"/>
      <c r="AI103" s="2"/>
      <c r="AJ103" s="2"/>
      <c r="AK103" s="2"/>
      <c r="AL103" s="2"/>
    </row>
    <row r="104" spans="1:52" s="2" customFormat="1" outlineLevel="1" x14ac:dyDescent="0.55000000000000004">
      <c r="A104"/>
      <c r="B104"/>
      <c r="C104"/>
      <c r="AL104" s="70"/>
      <c r="AM104" s="70"/>
      <c r="AN104" s="70"/>
    </row>
    <row r="105" spans="1:52" s="2" customFormat="1" ht="19.899999999999999" customHeight="1" outlineLevel="1" x14ac:dyDescent="0.55000000000000004">
      <c r="A105"/>
      <c r="B105" s="173" t="s">
        <v>155</v>
      </c>
      <c r="C105" s="173"/>
      <c r="D105" s="13"/>
      <c r="E105" s="175" t="s">
        <v>144</v>
      </c>
      <c r="F105" s="175"/>
      <c r="G105" s="175"/>
      <c r="H105" s="175"/>
      <c r="I105" s="175"/>
      <c r="J105" s="175"/>
      <c r="K105" s="175"/>
      <c r="L105" s="175"/>
      <c r="M105" s="175"/>
      <c r="O105" s="175" t="s">
        <v>341</v>
      </c>
      <c r="P105" s="175"/>
      <c r="Q105" s="175"/>
      <c r="R105" s="175"/>
      <c r="S105" s="175"/>
      <c r="T105" s="175"/>
      <c r="U105" s="175"/>
      <c r="W105" s="175" t="s">
        <v>145</v>
      </c>
      <c r="X105" s="175"/>
      <c r="Y105" s="175"/>
      <c r="Z105" s="175"/>
      <c r="AA105" s="175"/>
      <c r="AB105" s="175"/>
      <c r="AC105" s="175"/>
      <c r="AD105" s="175"/>
      <c r="AE105" s="175"/>
      <c r="AF105" s="110"/>
      <c r="AG105" s="175" t="s">
        <v>153</v>
      </c>
      <c r="AH105" s="175"/>
      <c r="AI105" s="175"/>
      <c r="AJ105" s="175"/>
      <c r="AK105" s="175"/>
      <c r="AL105" s="175"/>
      <c r="AM105" s="175"/>
      <c r="AN105" s="175"/>
      <c r="AO105" s="175"/>
      <c r="AQ105" s="70"/>
      <c r="AR105" s="70"/>
      <c r="AS105" s="70"/>
    </row>
    <row r="106" spans="1:52" s="2" customFormat="1" ht="30.6" customHeight="1" outlineLevel="1" x14ac:dyDescent="0.55000000000000004">
      <c r="A106"/>
      <c r="B106" s="146" t="s">
        <v>149</v>
      </c>
      <c r="C106" s="146" t="s">
        <v>10</v>
      </c>
      <c r="D106" s="13"/>
      <c r="E106" s="76" t="s">
        <v>11</v>
      </c>
      <c r="F106" s="76" t="s">
        <v>353</v>
      </c>
      <c r="G106" s="76" t="s">
        <v>354</v>
      </c>
      <c r="H106" s="76" t="s">
        <v>13</v>
      </c>
      <c r="I106" s="76" t="s">
        <v>355</v>
      </c>
      <c r="J106" s="76" t="s">
        <v>121</v>
      </c>
      <c r="K106" s="76" t="s">
        <v>356</v>
      </c>
      <c r="L106" s="76" t="s">
        <v>357</v>
      </c>
      <c r="M106" s="76" t="s">
        <v>15</v>
      </c>
      <c r="O106" s="76" t="s">
        <v>11</v>
      </c>
      <c r="P106" s="76" t="s">
        <v>353</v>
      </c>
      <c r="Q106" s="76" t="s">
        <v>13</v>
      </c>
      <c r="R106" s="76" t="s">
        <v>136</v>
      </c>
      <c r="S106" s="76" t="s">
        <v>356</v>
      </c>
      <c r="T106" s="76" t="s">
        <v>357</v>
      </c>
      <c r="U106" s="76" t="s">
        <v>15</v>
      </c>
      <c r="W106" s="76" t="s">
        <v>11</v>
      </c>
      <c r="X106" s="76" t="s">
        <v>353</v>
      </c>
      <c r="Y106" s="76" t="s">
        <v>13</v>
      </c>
      <c r="Z106" s="76" t="s">
        <v>399</v>
      </c>
      <c r="AA106" s="76" t="s">
        <v>356</v>
      </c>
      <c r="AB106" s="76" t="s">
        <v>402</v>
      </c>
      <c r="AC106" s="76" t="s">
        <v>403</v>
      </c>
      <c r="AD106" s="76" t="s">
        <v>136</v>
      </c>
      <c r="AE106" s="76" t="s">
        <v>15</v>
      </c>
      <c r="AF106" s="149"/>
      <c r="AG106" s="76" t="s">
        <v>11</v>
      </c>
      <c r="AH106" s="76" t="s">
        <v>353</v>
      </c>
      <c r="AI106" s="76" t="s">
        <v>13</v>
      </c>
      <c r="AJ106" s="76" t="s">
        <v>399</v>
      </c>
      <c r="AK106" s="76" t="s">
        <v>356</v>
      </c>
      <c r="AL106" s="76" t="s">
        <v>402</v>
      </c>
      <c r="AM106" s="76" t="s">
        <v>403</v>
      </c>
      <c r="AN106" s="76" t="s">
        <v>136</v>
      </c>
      <c r="AO106" s="76" t="s">
        <v>15</v>
      </c>
      <c r="AQ106" s="70"/>
      <c r="AR106" s="70"/>
      <c r="AS106" s="70"/>
    </row>
    <row r="107" spans="1:52" s="2" customFormat="1" outlineLevel="1" x14ac:dyDescent="0.55000000000000004">
      <c r="A107" s="19"/>
      <c r="B107" s="15" t="s">
        <v>276</v>
      </c>
      <c r="C107" s="15" t="s">
        <v>277</v>
      </c>
      <c r="D107" s="13"/>
      <c r="E107" s="16" t="s">
        <v>278</v>
      </c>
      <c r="F107" s="16" t="s">
        <v>279</v>
      </c>
      <c r="G107" s="16" t="s">
        <v>280</v>
      </c>
      <c r="H107" s="16" t="s">
        <v>281</v>
      </c>
      <c r="I107" s="16" t="s">
        <v>282</v>
      </c>
      <c r="J107" s="16" t="s">
        <v>283</v>
      </c>
      <c r="K107" s="16" t="s">
        <v>284</v>
      </c>
      <c r="L107" s="16" t="s">
        <v>285</v>
      </c>
      <c r="M107" s="16" t="s">
        <v>286</v>
      </c>
      <c r="O107" s="16" t="s">
        <v>287</v>
      </c>
      <c r="P107" s="16" t="s">
        <v>288</v>
      </c>
      <c r="Q107" s="16" t="s">
        <v>289</v>
      </c>
      <c r="R107" s="16" t="s">
        <v>290</v>
      </c>
      <c r="S107" s="16" t="s">
        <v>291</v>
      </c>
      <c r="T107" s="16" t="s">
        <v>292</v>
      </c>
      <c r="U107" s="16" t="s">
        <v>293</v>
      </c>
      <c r="W107" s="16" t="s">
        <v>294</v>
      </c>
      <c r="X107" s="16" t="s">
        <v>295</v>
      </c>
      <c r="Y107" s="16" t="s">
        <v>296</v>
      </c>
      <c r="Z107" s="16" t="s">
        <v>297</v>
      </c>
      <c r="AA107" s="16" t="s">
        <v>298</v>
      </c>
      <c r="AB107" s="16" t="s">
        <v>299</v>
      </c>
      <c r="AC107" s="16" t="s">
        <v>300</v>
      </c>
      <c r="AD107" s="16" t="s">
        <v>301</v>
      </c>
      <c r="AE107" s="16" t="s">
        <v>302</v>
      </c>
      <c r="AF107" s="150"/>
      <c r="AG107" s="16" t="s">
        <v>303</v>
      </c>
      <c r="AH107" s="16" t="s">
        <v>304</v>
      </c>
      <c r="AI107" s="16" t="s">
        <v>305</v>
      </c>
      <c r="AJ107" s="16" t="s">
        <v>306</v>
      </c>
      <c r="AK107" s="16" t="s">
        <v>400</v>
      </c>
      <c r="AL107" s="16" t="s">
        <v>404</v>
      </c>
      <c r="AM107" s="16" t="s">
        <v>405</v>
      </c>
      <c r="AN107" s="16" t="s">
        <v>406</v>
      </c>
      <c r="AO107" s="16" t="s">
        <v>407</v>
      </c>
      <c r="AQ107" s="70"/>
      <c r="AR107" s="70"/>
      <c r="AS107" s="70"/>
    </row>
    <row r="108" spans="1:52" s="2" customFormat="1" outlineLevel="1" x14ac:dyDescent="0.55000000000000004">
      <c r="A108"/>
      <c r="B108" s="1"/>
      <c r="C108" s="3">
        <v>0</v>
      </c>
      <c r="D108" s="13"/>
      <c r="E108" s="63"/>
      <c r="F108" s="63"/>
      <c r="G108" s="63"/>
      <c r="H108" s="63"/>
      <c r="I108" s="63"/>
      <c r="K108" s="63"/>
      <c r="L108" s="63"/>
      <c r="M108" s="63"/>
      <c r="O108" s="63"/>
      <c r="P108" s="63"/>
      <c r="Q108" s="4"/>
      <c r="R108" s="4"/>
      <c r="S108" s="4"/>
      <c r="T108" s="63"/>
      <c r="U108" s="4"/>
      <c r="W108" s="63"/>
      <c r="X108" s="4"/>
      <c r="Y108" s="4"/>
      <c r="Z108" s="4"/>
      <c r="AA108" s="4"/>
      <c r="AB108" s="4"/>
      <c r="AC108" s="4"/>
      <c r="AD108" s="4"/>
      <c r="AE108" s="4"/>
      <c r="AF108" s="110"/>
      <c r="AG108" s="63"/>
      <c r="AH108" s="4"/>
      <c r="AI108" s="4"/>
      <c r="AJ108" s="4"/>
      <c r="AK108" s="4"/>
      <c r="AL108" s="4"/>
      <c r="AM108" s="4"/>
      <c r="AN108" s="4"/>
      <c r="AO108" s="4"/>
      <c r="AQ108" s="70"/>
      <c r="AR108" s="70"/>
      <c r="AS108" s="70"/>
    </row>
    <row r="109" spans="1:52" s="2" customFormat="1" outlineLevel="1" x14ac:dyDescent="0.55000000000000004">
      <c r="A109" s="9"/>
      <c r="B109" s="1" t="s">
        <v>6</v>
      </c>
      <c r="C109" s="3">
        <v>1</v>
      </c>
      <c r="D109" s="13"/>
      <c r="E109" s="63">
        <f t="shared" ref="E109:E120" si="81">IF(C109=1,0,M108)</f>
        <v>0</v>
      </c>
      <c r="F109" s="63">
        <f t="shared" ref="F109:F120" ca="1" si="82">IF($C109=1,$AK$39,0)</f>
        <v>-3286061.7878598114</v>
      </c>
      <c r="G109" s="63">
        <f t="shared" ref="G109:G120" si="83">IF($C109&lt;=$F$8,-(W39+Z39),-(W85+Z85))</f>
        <v>1650000</v>
      </c>
      <c r="H109" s="63">
        <f t="shared" ref="H109:H120" ca="1" si="84">SUM(E109:G109)*((1+IF($C109&lt;=$F$8,$F$17,$G$17))^(1/4)-1)</f>
        <v>-8119.6627026817505</v>
      </c>
      <c r="I109" s="63">
        <f t="shared" ref="I109:I120" si="85">IF($C109&lt;=$F$8,-(X40+Y40),-(X86+Y86))</f>
        <v>-82006.099637275853</v>
      </c>
      <c r="J109" s="63">
        <f t="shared" ref="J109:J120" ca="1" si="86">IF($C109&lt;=$F$8,-(AA40),-(AA86))</f>
        <v>0</v>
      </c>
      <c r="K109" s="63">
        <f t="shared" ref="K109:K120" si="87">IF($C109=$F$8,AQ63,0)</f>
        <v>0</v>
      </c>
      <c r="L109" s="63">
        <f t="shared" ref="L109:L120" si="88">IF($C109=$F$8,AQ86,0)</f>
        <v>0</v>
      </c>
      <c r="M109" s="63">
        <f t="shared" ref="M109:M120" ca="1" si="89">SUM(E109:L109)</f>
        <v>-1726187.550199769</v>
      </c>
      <c r="N109" s="124"/>
      <c r="O109" s="63">
        <f t="shared" ref="O109:O120" si="90">IF(C109=1,0,U108)</f>
        <v>0</v>
      </c>
      <c r="P109" s="63">
        <f t="shared" ref="P109:P120" si="91">IF($C109=1,$AL$39,0)</f>
        <v>210033.16964305146</v>
      </c>
      <c r="Q109" s="4">
        <f t="shared" ref="Q109:Q120" si="92">SUM(O109:P109)*((1+IF($C109&lt;=$F$8,$F$17,$G$17))^(1/4)-1)</f>
        <v>1042.3802490415744</v>
      </c>
      <c r="R109" s="4">
        <f>U109-SUM(S109:T109,O109:Q109)</f>
        <v>-4100.3049818637664</v>
      </c>
      <c r="S109" s="4">
        <f t="shared" ref="S109:S120" si="93">IF($C109=$F$8,AR63,0)</f>
        <v>0</v>
      </c>
      <c r="T109" s="63">
        <f t="shared" ref="T109:T120" si="94">IF($C109=$F$8,AR86,0)</f>
        <v>0</v>
      </c>
      <c r="U109" s="4">
        <f t="shared" ref="U109:U120" si="95">IF(C109&lt;$F$8,AL40,AL86)</f>
        <v>206975.24491022926</v>
      </c>
      <c r="V109" s="124"/>
      <c r="W109" s="63">
        <f t="shared" ref="W109:W120" si="96">IF(C109=1,0,AE108)</f>
        <v>0</v>
      </c>
      <c r="X109" s="4">
        <f t="shared" ref="X109:X120" ca="1" si="97">IF($C109=1,MAX(-F109-P109,0),0)</f>
        <v>3076028.61821676</v>
      </c>
      <c r="Y109" s="4">
        <f ca="1">SUM(W109:X109)*((1+$F$17)^(1/4)-1)</f>
        <v>15266.119549426481</v>
      </c>
      <c r="Z109" s="4">
        <f ca="1">IF(AND(SUM(W109:Y109)&gt;=0,SUM(AG109:AI109)=0),IF(AND(C109=$F$8,$F$29="yes"),-(W63-W40),0),0)</f>
        <v>0</v>
      </c>
      <c r="AA109" s="4">
        <f ca="1">IF(AND(SUM(W109:Y109)&gt;=0,SUM(AG109:AI109)=0),-K109-S109,0)</f>
        <v>0</v>
      </c>
      <c r="AB109" s="4">
        <f ca="1">-MIN(SUM(W109:AA109),0)</f>
        <v>0</v>
      </c>
      <c r="AC109" s="4">
        <f ca="1">AM109</f>
        <v>0</v>
      </c>
      <c r="AD109" s="4">
        <f ca="1">-SUM(W109:AC109)*IFERROR(IF(C109&lt;$F$8,IF($F$23="yes",M40/SUM(M40:$M$52),L40/SUM(L40:$L$52)),IF($F$23="yes",M63/SUM(M63:$M$75),L63/SUM(L63:$L$75))),0)</f>
        <v>-351991.46612503874</v>
      </c>
      <c r="AE109" s="4">
        <f t="shared" ref="AE109:AE120" ca="1" si="98">SUM(W109:AD109)</f>
        <v>2739303.2716411473</v>
      </c>
      <c r="AF109" s="124"/>
      <c r="AG109" s="63">
        <f t="shared" ref="AG109:AG120" si="99">IF(C109=1,0,AO108)</f>
        <v>0</v>
      </c>
      <c r="AH109" s="4">
        <f t="shared" ref="AH109:AH120" ca="1" si="100">IF($C109=1,F109+P109+X109,0)</f>
        <v>0</v>
      </c>
      <c r="AI109" s="63">
        <f ca="1">SUM(AG109:AH109)*((1+IF($C109&lt;=$F$8,$F$17,$G$17))^(1/4)-1)</f>
        <v>0</v>
      </c>
      <c r="AJ109" s="63">
        <f>IF(AND(C109=$F$8,$F$29="yes"),(W63-W40)+Z109,0)</f>
        <v>0</v>
      </c>
      <c r="AK109" s="4">
        <f ca="1">K109+S109+AA109</f>
        <v>0</v>
      </c>
      <c r="AL109" s="4">
        <f ca="1">AB109</f>
        <v>0</v>
      </c>
      <c r="AM109" s="4">
        <f ca="1">-MIN(SUM(AG109:AK109),0)</f>
        <v>0</v>
      </c>
      <c r="AN109" s="4">
        <f ca="1">-SUM(AG109:AM109)*IFERROR(IF(C109&lt;$F$8,IF($F$23="yes",M40/SUM(M40:$M$52),L40/SUM(L40:$L$52)),IF($F$23="yes",M63/SUM(M63:$M$75),L63/SUM(L63:$L$75))),0)</f>
        <v>0</v>
      </c>
      <c r="AO109" s="4">
        <f t="shared" ref="AO109:AO120" ca="1" si="101">SUM(AG109:AN109)</f>
        <v>0</v>
      </c>
      <c r="AP109" s="124"/>
      <c r="AQ109" s="70"/>
      <c r="AR109" s="70"/>
      <c r="AS109" s="70"/>
      <c r="AU109" s="125"/>
      <c r="AV109" s="4"/>
      <c r="AX109" s="126"/>
      <c r="AZ109" s="4"/>
    </row>
    <row r="110" spans="1:52" s="2" customFormat="1" outlineLevel="1" x14ac:dyDescent="0.55000000000000004">
      <c r="A110" s="9"/>
      <c r="B110" s="1" t="s">
        <v>7</v>
      </c>
      <c r="C110" s="3">
        <v>2</v>
      </c>
      <c r="D110" s="13"/>
      <c r="E110" s="63">
        <f t="shared" ca="1" si="81"/>
        <v>-1726187.550199769</v>
      </c>
      <c r="F110" s="63">
        <f t="shared" si="82"/>
        <v>0</v>
      </c>
      <c r="G110" s="63">
        <f t="shared" si="83"/>
        <v>709306.20675238187</v>
      </c>
      <c r="H110" s="63">
        <f t="shared" ca="1" si="84"/>
        <v>-5046.7125255969568</v>
      </c>
      <c r="I110" s="63">
        <f t="shared" si="85"/>
        <v>-155422.38460427284</v>
      </c>
      <c r="J110" s="63">
        <f t="shared" ca="1" si="86"/>
        <v>0</v>
      </c>
      <c r="K110" s="63">
        <f t="shared" si="87"/>
        <v>0</v>
      </c>
      <c r="L110" s="63">
        <f t="shared" si="88"/>
        <v>0</v>
      </c>
      <c r="M110" s="63">
        <f t="shared" ca="1" si="89"/>
        <v>-1177350.440577257</v>
      </c>
      <c r="N110" s="124"/>
      <c r="O110" s="63">
        <f t="shared" si="90"/>
        <v>206975.24491022926</v>
      </c>
      <c r="P110" s="63">
        <f t="shared" si="91"/>
        <v>0</v>
      </c>
      <c r="Q110" s="4">
        <f t="shared" si="92"/>
        <v>1027.2039778365704</v>
      </c>
      <c r="R110" s="4">
        <f t="shared" ref="R110:R120" si="102">U110-SUM(S110:T110,O110:Q110)</f>
        <v>-7771.1192302136624</v>
      </c>
      <c r="S110" s="4">
        <f t="shared" si="93"/>
        <v>0</v>
      </c>
      <c r="T110" s="63">
        <f t="shared" si="94"/>
        <v>0</v>
      </c>
      <c r="U110" s="4">
        <f t="shared" si="95"/>
        <v>200231.32965785215</v>
      </c>
      <c r="V110" s="124"/>
      <c r="W110" s="63">
        <f t="shared" ca="1" si="96"/>
        <v>2739303.2716411473</v>
      </c>
      <c r="X110" s="4">
        <f t="shared" si="97"/>
        <v>0</v>
      </c>
      <c r="Y110" s="4">
        <f t="shared" ref="Y110:Y120" ca="1" si="103">SUM(W110:X110)*((1+$F$17)^(1/4)-1)</f>
        <v>13594.974695408375</v>
      </c>
      <c r="Z110" s="4">
        <f t="shared" ref="Z110:Z120" ca="1" si="104">IF(AND(SUM(W110:Y110)&gt;=0,SUM(AG110:AI110)=0),IF(AND(C110=$F$8,$F$29="yes"),-(W64-W41),0),0)</f>
        <v>0</v>
      </c>
      <c r="AA110" s="4">
        <f t="shared" ref="AA110:AA120" ca="1" si="105">IF(AND(SUM(W110:Y110)&gt;=0,SUM(AG110:AI110)=0),-K110-S110,0)</f>
        <v>0</v>
      </c>
      <c r="AB110" s="4">
        <f t="shared" ref="AB110:AB120" ca="1" si="106">-MIN(SUM(W110:AA110),0)</f>
        <v>0</v>
      </c>
      <c r="AC110" s="4">
        <f t="shared" ref="AC110:AC120" ca="1" si="107">AM110</f>
        <v>0</v>
      </c>
      <c r="AD110" s="4">
        <f ca="1">-SUM(W110:AC110)*IFERROR(IF(C110&lt;$F$8,IF($F$23="yes",M41/SUM(M41:$M$52),L41/SUM(L41:$L$52)),IF($F$23="yes",M64/SUM(M64:$M$75),L64/SUM(L64:$L$75))),0)</f>
        <v>-332892.97552848107</v>
      </c>
      <c r="AE110" s="4">
        <f t="shared" ca="1" si="98"/>
        <v>2420005.2708080746</v>
      </c>
      <c r="AF110" s="124"/>
      <c r="AG110" s="63">
        <f t="shared" ca="1" si="99"/>
        <v>0</v>
      </c>
      <c r="AH110" s="4">
        <f t="shared" si="100"/>
        <v>0</v>
      </c>
      <c r="AI110" s="63">
        <f t="shared" ref="AI110:AI120" ca="1" si="108">SUM(AG110:AH110)*((1+IF($C110&lt;=$F$8,$F$17,$G$17))^(1/4)-1)</f>
        <v>0</v>
      </c>
      <c r="AJ110" s="63">
        <f t="shared" ref="AJ110:AJ120" si="109">IF(AND(C110=$F$8,$F$29="yes"),(W64-W41)+Z110,0)</f>
        <v>0</v>
      </c>
      <c r="AK110" s="4">
        <f t="shared" ref="AK110:AK120" ca="1" si="110">K110+S110+AA110</f>
        <v>0</v>
      </c>
      <c r="AL110" s="4">
        <f t="shared" ref="AL110:AL120" ca="1" si="111">AB110</f>
        <v>0</v>
      </c>
      <c r="AM110" s="4">
        <f t="shared" ref="AM110:AM120" ca="1" si="112">-MIN(SUM(AG110:AK110),0)</f>
        <v>0</v>
      </c>
      <c r="AN110" s="4">
        <f ca="1">-SUM(AG110:AM110)*IFERROR(IF(C110&lt;$F$8,IF($F$23="yes",M41/SUM(M41:$M$52),L41/SUM(L41:$L$52)),IF($F$23="yes",M64/SUM(M64:$M$75),L64/SUM(L64:$L$75))),0)</f>
        <v>0</v>
      </c>
      <c r="AO110" s="4">
        <f t="shared" ca="1" si="101"/>
        <v>0</v>
      </c>
      <c r="AP110" s="124"/>
      <c r="AQ110" s="70"/>
      <c r="AR110" s="70"/>
      <c r="AS110" s="70"/>
      <c r="AT110" s="22"/>
      <c r="AU110" s="125"/>
      <c r="AV110" s="45"/>
      <c r="AX110" s="126"/>
      <c r="AZ110" s="4"/>
    </row>
    <row r="111" spans="1:52" s="2" customFormat="1" outlineLevel="1" x14ac:dyDescent="0.55000000000000004">
      <c r="A111" s="9"/>
      <c r="B111" s="1" t="s">
        <v>8</v>
      </c>
      <c r="C111" s="3">
        <v>3</v>
      </c>
      <c r="D111" s="13"/>
      <c r="E111" s="63">
        <f t="shared" ca="1" si="81"/>
        <v>-1177350.440577257</v>
      </c>
      <c r="F111" s="63">
        <f t="shared" si="82"/>
        <v>0</v>
      </c>
      <c r="G111" s="63">
        <f t="shared" si="83"/>
        <v>670820.39324993687</v>
      </c>
      <c r="H111" s="63">
        <f t="shared" ca="1" si="84"/>
        <v>-2513.873964657183</v>
      </c>
      <c r="I111" s="63">
        <f t="shared" si="85"/>
        <v>-220923.88482355975</v>
      </c>
      <c r="J111" s="63">
        <f t="shared" ca="1" si="86"/>
        <v>0</v>
      </c>
      <c r="K111" s="63">
        <f t="shared" si="87"/>
        <v>0</v>
      </c>
      <c r="L111" s="63">
        <f t="shared" si="88"/>
        <v>0</v>
      </c>
      <c r="M111" s="63">
        <f t="shared" ca="1" si="89"/>
        <v>-729967.80611553707</v>
      </c>
      <c r="N111" s="124"/>
      <c r="O111" s="63">
        <f t="shared" si="90"/>
        <v>200231.32965785215</v>
      </c>
      <c r="P111" s="63">
        <f t="shared" si="91"/>
        <v>0</v>
      </c>
      <c r="Q111" s="4">
        <f t="shared" si="92"/>
        <v>993.73438790353725</v>
      </c>
      <c r="R111" s="4">
        <f t="shared" si="102"/>
        <v>-11046.194241177989</v>
      </c>
      <c r="S111" s="4">
        <f t="shared" si="93"/>
        <v>0</v>
      </c>
      <c r="T111" s="63">
        <f t="shared" si="94"/>
        <v>0</v>
      </c>
      <c r="U111" s="4">
        <f t="shared" si="95"/>
        <v>190178.8698045777</v>
      </c>
      <c r="V111" s="124"/>
      <c r="W111" s="63">
        <f t="shared" ca="1" si="96"/>
        <v>2420005.2708080746</v>
      </c>
      <c r="X111" s="4">
        <f t="shared" si="97"/>
        <v>0</v>
      </c>
      <c r="Y111" s="4">
        <f t="shared" ca="1" si="103"/>
        <v>12010.320565813057</v>
      </c>
      <c r="Z111" s="4">
        <f t="shared" ca="1" si="104"/>
        <v>0</v>
      </c>
      <c r="AA111" s="4">
        <f t="shared" ca="1" si="105"/>
        <v>0</v>
      </c>
      <c r="AB111" s="4">
        <f t="shared" ca="1" si="106"/>
        <v>0</v>
      </c>
      <c r="AC111" s="4">
        <f t="shared" ca="1" si="107"/>
        <v>0</v>
      </c>
      <c r="AD111" s="4">
        <f ca="1">-SUM(W111:AC111)*IFERROR(IF(C111&lt;$F$8,IF($F$23="yes",M42/SUM(M42:$M$52),L42/SUM(L42:$L$52)),IF($F$23="yes",M65/SUM(M65:$M$75),L65/SUM(L65:$L$75))),0)</f>
        <v>-314830.73830216058</v>
      </c>
      <c r="AE111" s="4">
        <f t="shared" ca="1" si="98"/>
        <v>2117184.8530717273</v>
      </c>
      <c r="AF111" s="124"/>
      <c r="AG111" s="63">
        <f t="shared" ca="1" si="99"/>
        <v>0</v>
      </c>
      <c r="AH111" s="4">
        <f t="shared" si="100"/>
        <v>0</v>
      </c>
      <c r="AI111" s="63">
        <f t="shared" ca="1" si="108"/>
        <v>0</v>
      </c>
      <c r="AJ111" s="63">
        <f t="shared" si="109"/>
        <v>0</v>
      </c>
      <c r="AK111" s="4">
        <f t="shared" ca="1" si="110"/>
        <v>0</v>
      </c>
      <c r="AL111" s="4">
        <f t="shared" ca="1" si="111"/>
        <v>0</v>
      </c>
      <c r="AM111" s="4">
        <f t="shared" ca="1" si="112"/>
        <v>0</v>
      </c>
      <c r="AN111" s="4">
        <f ca="1">-SUM(AG111:AM111)*IFERROR(IF(C111&lt;$F$8,IF($F$23="yes",M42/SUM(M42:$M$52),L42/SUM(L42:$L$52)),IF($F$23="yes",M65/SUM(M65:$M$75),L65/SUM(L65:$L$75))),0)</f>
        <v>0</v>
      </c>
      <c r="AO111" s="4">
        <f t="shared" ca="1" si="101"/>
        <v>0</v>
      </c>
      <c r="AP111" s="124"/>
      <c r="AQ111" s="70"/>
      <c r="AR111" s="70"/>
      <c r="AS111" s="70"/>
      <c r="AT111" s="22"/>
      <c r="AU111" s="125"/>
      <c r="AX111" s="126"/>
      <c r="AZ111" s="4"/>
    </row>
    <row r="112" spans="1:52" s="2" customFormat="1" outlineLevel="1" x14ac:dyDescent="0.55000000000000004">
      <c r="A112" s="9"/>
      <c r="B112" s="1" t="s">
        <v>9</v>
      </c>
      <c r="C112" s="3">
        <v>4</v>
      </c>
      <c r="D112" s="13"/>
      <c r="E112" s="63">
        <f t="shared" ca="1" si="81"/>
        <v>-729967.80611553707</v>
      </c>
      <c r="F112" s="63">
        <f t="shared" si="82"/>
        <v>0</v>
      </c>
      <c r="G112" s="63">
        <f t="shared" si="83"/>
        <v>634422.75806433847</v>
      </c>
      <c r="H112" s="63">
        <f t="shared" ca="1" si="84"/>
        <v>-474.18353563656979</v>
      </c>
      <c r="I112" s="63">
        <f t="shared" si="85"/>
        <v>-279138.46153846156</v>
      </c>
      <c r="J112" s="63">
        <f t="shared" ca="1" si="86"/>
        <v>0</v>
      </c>
      <c r="K112" s="63">
        <f t="shared" si="87"/>
        <v>0</v>
      </c>
      <c r="L112" s="63">
        <f t="shared" si="88"/>
        <v>0</v>
      </c>
      <c r="M112" s="63">
        <f t="shared" ca="1" si="89"/>
        <v>-375157.69312529673</v>
      </c>
      <c r="N112" s="124"/>
      <c r="O112" s="63">
        <f t="shared" si="90"/>
        <v>190178.8698045777</v>
      </c>
      <c r="P112" s="63">
        <f t="shared" si="91"/>
        <v>0</v>
      </c>
      <c r="Q112" s="4">
        <f t="shared" si="92"/>
        <v>943.84471750935757</v>
      </c>
      <c r="R112" s="4">
        <f t="shared" si="102"/>
        <v>-13956.923076923063</v>
      </c>
      <c r="S112" s="4">
        <f t="shared" si="93"/>
        <v>0</v>
      </c>
      <c r="T112" s="63">
        <f t="shared" si="94"/>
        <v>0</v>
      </c>
      <c r="U112" s="4">
        <f t="shared" si="95"/>
        <v>177165.79144516398</v>
      </c>
      <c r="V112" s="124"/>
      <c r="W112" s="63">
        <f t="shared" ca="1" si="96"/>
        <v>2117184.8530717273</v>
      </c>
      <c r="X112" s="4">
        <f t="shared" si="97"/>
        <v>0</v>
      </c>
      <c r="Y112" s="4">
        <f t="shared" ca="1" si="103"/>
        <v>10507.44355361857</v>
      </c>
      <c r="Z112" s="4">
        <f t="shared" ca="1" si="104"/>
        <v>0</v>
      </c>
      <c r="AA112" s="4">
        <f t="shared" ca="1" si="105"/>
        <v>0</v>
      </c>
      <c r="AB112" s="4">
        <f t="shared" ca="1" si="106"/>
        <v>0</v>
      </c>
      <c r="AC112" s="4">
        <f t="shared" ca="1" si="107"/>
        <v>0</v>
      </c>
      <c r="AD112" s="4">
        <f ca="1">-SUM(W112:AC112)*IFERROR(IF(C112&lt;$F$8,IF($F$23="yes",M43/SUM(M43:$M$52),L43/SUM(L43:$L$52)),IF($F$23="yes",M66/SUM(M66:$M$75),L66/SUM(L66:$L$75))),0)</f>
        <v>-297748.52900554321</v>
      </c>
      <c r="AE112" s="4">
        <f t="shared" ca="1" si="98"/>
        <v>1829943.7676198026</v>
      </c>
      <c r="AF112" s="124"/>
      <c r="AG112" s="63">
        <f t="shared" ca="1" si="99"/>
        <v>0</v>
      </c>
      <c r="AH112" s="4">
        <f t="shared" si="100"/>
        <v>0</v>
      </c>
      <c r="AI112" s="63">
        <f t="shared" ca="1" si="108"/>
        <v>0</v>
      </c>
      <c r="AJ112" s="63">
        <f t="shared" si="109"/>
        <v>0</v>
      </c>
      <c r="AK112" s="4">
        <f t="shared" ca="1" si="110"/>
        <v>0</v>
      </c>
      <c r="AL112" s="4">
        <f t="shared" ca="1" si="111"/>
        <v>0</v>
      </c>
      <c r="AM112" s="4">
        <f t="shared" ca="1" si="112"/>
        <v>0</v>
      </c>
      <c r="AN112" s="4">
        <f ca="1">-SUM(AG112:AM112)*IFERROR(IF(C112&lt;$F$8,IF($F$23="yes",M43/SUM(M43:$M$52),L43/SUM(L43:$L$52)),IF($F$23="yes",M66/SUM(M66:$M$75),L66/SUM(L66:$L$75))),0)</f>
        <v>0</v>
      </c>
      <c r="AO112" s="4">
        <f t="shared" ca="1" si="101"/>
        <v>0</v>
      </c>
      <c r="AP112" s="124"/>
      <c r="AQ112" s="70"/>
      <c r="AR112" s="70"/>
      <c r="AS112" s="70"/>
      <c r="AT112" s="22"/>
      <c r="AU112" s="125"/>
      <c r="AX112" s="126"/>
      <c r="AZ112" s="4"/>
    </row>
    <row r="113" spans="1:52" s="55" customFormat="1" outlineLevel="1" x14ac:dyDescent="0.55000000000000004">
      <c r="A113" s="89"/>
      <c r="B113" s="117" t="s">
        <v>16</v>
      </c>
      <c r="C113" s="118">
        <v>5</v>
      </c>
      <c r="D113" s="119"/>
      <c r="E113" s="63">
        <f t="shared" ca="1" si="81"/>
        <v>-375157.69312529673</v>
      </c>
      <c r="F113" s="63">
        <f t="shared" si="82"/>
        <v>0</v>
      </c>
      <c r="G113" s="63">
        <f t="shared" si="83"/>
        <v>600000</v>
      </c>
      <c r="H113" s="63">
        <f t="shared" ca="1" si="84"/>
        <v>1115.8769837804475</v>
      </c>
      <c r="I113" s="63">
        <f t="shared" si="85"/>
        <v>-330649.89834374608</v>
      </c>
      <c r="J113" s="63">
        <f t="shared" ca="1" si="86"/>
        <v>0</v>
      </c>
      <c r="K113" s="63">
        <f t="shared" si="87"/>
        <v>0</v>
      </c>
      <c r="L113" s="63">
        <f t="shared" si="88"/>
        <v>0</v>
      </c>
      <c r="M113" s="63">
        <f t="shared" ca="1" si="89"/>
        <v>-104691.71448526238</v>
      </c>
      <c r="N113" s="124"/>
      <c r="O113" s="63">
        <f t="shared" si="90"/>
        <v>177165.79144516398</v>
      </c>
      <c r="P113" s="63">
        <f t="shared" si="91"/>
        <v>0</v>
      </c>
      <c r="Q113" s="51">
        <f t="shared" si="92"/>
        <v>879.26170005484778</v>
      </c>
      <c r="R113" s="51">
        <f t="shared" si="102"/>
        <v>-16532.494917187316</v>
      </c>
      <c r="S113" s="51">
        <f t="shared" si="93"/>
        <v>0</v>
      </c>
      <c r="T113" s="63">
        <f t="shared" si="94"/>
        <v>0</v>
      </c>
      <c r="U113" s="51">
        <f t="shared" si="95"/>
        <v>161512.5582280315</v>
      </c>
      <c r="V113" s="124"/>
      <c r="W113" s="63">
        <f t="shared" ca="1" si="96"/>
        <v>1829943.7676198026</v>
      </c>
      <c r="X113" s="51">
        <f t="shared" si="97"/>
        <v>0</v>
      </c>
      <c r="Y113" s="51">
        <f t="shared" ca="1" si="103"/>
        <v>9081.8857015078756</v>
      </c>
      <c r="Z113" s="4">
        <f t="shared" ca="1" si="104"/>
        <v>0</v>
      </c>
      <c r="AA113" s="4">
        <f t="shared" ca="1" si="105"/>
        <v>0</v>
      </c>
      <c r="AB113" s="4">
        <f t="shared" ca="1" si="106"/>
        <v>0</v>
      </c>
      <c r="AC113" s="4">
        <f t="shared" ca="1" si="107"/>
        <v>0</v>
      </c>
      <c r="AD113" s="4">
        <f ca="1">-SUM(W113:AC113)*IFERROR(IF(C113&lt;$F$8,IF($F$23="yes",M44/SUM(M44:$M$52),L44/SUM(L44:$L$52)),IF($F$23="yes",M67/SUM(M67:$M$75),L67/SUM(L67:$L$75))),0)</f>
        <v>-281593.17290003115</v>
      </c>
      <c r="AE113" s="51">
        <f t="shared" ca="1" si="98"/>
        <v>1557432.4804212793</v>
      </c>
      <c r="AF113" s="124"/>
      <c r="AG113" s="63">
        <f t="shared" ca="1" si="99"/>
        <v>0</v>
      </c>
      <c r="AH113" s="51">
        <f t="shared" si="100"/>
        <v>0</v>
      </c>
      <c r="AI113" s="63">
        <f t="shared" ca="1" si="108"/>
        <v>0</v>
      </c>
      <c r="AJ113" s="63">
        <f t="shared" si="109"/>
        <v>0</v>
      </c>
      <c r="AK113" s="4">
        <f t="shared" ca="1" si="110"/>
        <v>0</v>
      </c>
      <c r="AL113" s="4">
        <f t="shared" ca="1" si="111"/>
        <v>0</v>
      </c>
      <c r="AM113" s="4">
        <f t="shared" ca="1" si="112"/>
        <v>0</v>
      </c>
      <c r="AN113" s="4">
        <f ca="1">-SUM(AG113:AM113)*IFERROR(IF(C113&lt;$F$8,IF($F$23="yes",M44/SUM(M44:$M$52),L44/SUM(L44:$L$52)),IF($F$23="yes",M67/SUM(M67:$M$75),L67/SUM(L67:$L$75))),0)</f>
        <v>0</v>
      </c>
      <c r="AO113" s="51">
        <f t="shared" ca="1" si="101"/>
        <v>0</v>
      </c>
      <c r="AP113" s="124"/>
      <c r="AQ113" s="70"/>
      <c r="AR113" s="70"/>
      <c r="AS113" s="70"/>
      <c r="AT113" s="22"/>
      <c r="AU113" s="125"/>
      <c r="AX113" s="126"/>
      <c r="AY113" s="2"/>
      <c r="AZ113" s="4"/>
    </row>
    <row r="114" spans="1:52" s="2" customFormat="1" outlineLevel="1" x14ac:dyDescent="0.55000000000000004">
      <c r="A114" s="9"/>
      <c r="B114" s="1" t="s">
        <v>17</v>
      </c>
      <c r="C114" s="3">
        <v>6</v>
      </c>
      <c r="D114" s="13"/>
      <c r="E114" s="63">
        <f t="shared" ca="1" si="81"/>
        <v>-104691.71448526238</v>
      </c>
      <c r="F114" s="63">
        <f t="shared" si="82"/>
        <v>0</v>
      </c>
      <c r="G114" s="63">
        <f t="shared" si="83"/>
        <v>567444.96540190559</v>
      </c>
      <c r="H114" s="63">
        <f t="shared" ca="1" si="84"/>
        <v>2296.6127195769186</v>
      </c>
      <c r="I114" s="63">
        <f t="shared" si="85"/>
        <v>-376000.79769131128</v>
      </c>
      <c r="J114" s="63">
        <f t="shared" ca="1" si="86"/>
        <v>0</v>
      </c>
      <c r="K114" s="63">
        <f t="shared" si="87"/>
        <v>0</v>
      </c>
      <c r="L114" s="63">
        <f t="shared" si="88"/>
        <v>0</v>
      </c>
      <c r="M114" s="63">
        <f t="shared" ca="1" si="89"/>
        <v>89049.065944908827</v>
      </c>
      <c r="N114" s="124"/>
      <c r="O114" s="63">
        <f t="shared" si="90"/>
        <v>161512.5582280315</v>
      </c>
      <c r="P114" s="63">
        <f t="shared" si="91"/>
        <v>0</v>
      </c>
      <c r="Q114" s="4">
        <f t="shared" si="92"/>
        <v>801.57577469881824</v>
      </c>
      <c r="R114" s="4">
        <f>U114-SUM(S114:T114,O114:Q114)</f>
        <v>-18800.039884565515</v>
      </c>
      <c r="S114" s="4">
        <f t="shared" si="93"/>
        <v>0</v>
      </c>
      <c r="T114" s="63">
        <f t="shared" si="94"/>
        <v>0</v>
      </c>
      <c r="U114" s="4">
        <f t="shared" si="95"/>
        <v>143514.09411816479</v>
      </c>
      <c r="V114" s="124"/>
      <c r="W114" s="63">
        <f t="shared" ca="1" si="96"/>
        <v>1557432.4804212793</v>
      </c>
      <c r="X114" s="4">
        <f t="shared" si="97"/>
        <v>0</v>
      </c>
      <c r="Y114" s="4">
        <f t="shared" ca="1" si="103"/>
        <v>7729.4308302159097</v>
      </c>
      <c r="Z114" s="4">
        <f t="shared" ca="1" si="104"/>
        <v>0</v>
      </c>
      <c r="AA114" s="4">
        <f t="shared" ca="1" si="105"/>
        <v>0</v>
      </c>
      <c r="AB114" s="4">
        <f t="shared" ca="1" si="106"/>
        <v>0</v>
      </c>
      <c r="AC114" s="4">
        <f t="shared" ca="1" si="107"/>
        <v>0</v>
      </c>
      <c r="AD114" s="4">
        <f ca="1">-SUM(W114:AC114)*IFERROR(IF(C114&lt;$F$8,IF($F$23="yes",M45/SUM(M45:$M$52),L45/SUM(L45:$L$52)),IF($F$23="yes",M68/SUM(M68:$M$75),L68/SUM(L68:$L$75))),0)</f>
        <v>-266314.38042278489</v>
      </c>
      <c r="AE114" s="4">
        <f t="shared" ca="1" si="98"/>
        <v>1298847.5308287102</v>
      </c>
      <c r="AF114" s="124"/>
      <c r="AG114" s="63">
        <f t="shared" ca="1" si="99"/>
        <v>0</v>
      </c>
      <c r="AH114" s="4">
        <f t="shared" si="100"/>
        <v>0</v>
      </c>
      <c r="AI114" s="63">
        <f t="shared" ca="1" si="108"/>
        <v>0</v>
      </c>
      <c r="AJ114" s="63">
        <f t="shared" si="109"/>
        <v>0</v>
      </c>
      <c r="AK114" s="4">
        <f t="shared" ca="1" si="110"/>
        <v>0</v>
      </c>
      <c r="AL114" s="4">
        <f t="shared" ca="1" si="111"/>
        <v>0</v>
      </c>
      <c r="AM114" s="4">
        <f t="shared" ca="1" si="112"/>
        <v>0</v>
      </c>
      <c r="AN114" s="4">
        <f ca="1">-SUM(AG114:AM114)*IFERROR(IF(C114&lt;$F$8,IF($F$23="yes",M45/SUM(M45:$M$52),L45/SUM(L45:$L$52)),IF($F$23="yes",M68/SUM(M68:$M$75),L68/SUM(L68:$L$75))),0)</f>
        <v>0</v>
      </c>
      <c r="AO114" s="4">
        <f t="shared" ca="1" si="101"/>
        <v>0</v>
      </c>
      <c r="AP114" s="124"/>
      <c r="AQ114" s="70"/>
      <c r="AR114" s="70"/>
      <c r="AS114" s="70"/>
      <c r="AT114" s="22"/>
      <c r="AU114" s="125"/>
      <c r="AX114" s="126"/>
      <c r="AZ114" s="4"/>
    </row>
    <row r="115" spans="1:52" s="2" customFormat="1" outlineLevel="1" x14ac:dyDescent="0.55000000000000004">
      <c r="A115" s="9"/>
      <c r="B115" s="1" t="s">
        <v>18</v>
      </c>
      <c r="C115" s="3">
        <v>7</v>
      </c>
      <c r="D115" s="13"/>
      <c r="E115" s="63">
        <f t="shared" ca="1" si="81"/>
        <v>89049.065944908827</v>
      </c>
      <c r="F115" s="63">
        <f t="shared" si="82"/>
        <v>0</v>
      </c>
      <c r="G115" s="63">
        <f t="shared" si="83"/>
        <v>536656.31459994952</v>
      </c>
      <c r="H115" s="63">
        <f t="shared" ca="1" si="84"/>
        <v>3105.3329886295892</v>
      </c>
      <c r="I115" s="63">
        <f t="shared" si="85"/>
        <v>-415695.29477692972</v>
      </c>
      <c r="J115" s="63">
        <f t="shared" ca="1" si="86"/>
        <v>0</v>
      </c>
      <c r="K115" s="63">
        <f t="shared" ca="1" si="87"/>
        <v>-1411748.731885219</v>
      </c>
      <c r="L115" s="63">
        <f t="shared" ca="1" si="88"/>
        <v>-1436.1904039254878</v>
      </c>
      <c r="M115" s="63">
        <f t="shared" ca="1" si="89"/>
        <v>-1200069.5035325864</v>
      </c>
      <c r="N115" s="124"/>
      <c r="O115" s="63">
        <f t="shared" si="90"/>
        <v>143514.09411816479</v>
      </c>
      <c r="P115" s="63">
        <f t="shared" si="91"/>
        <v>0</v>
      </c>
      <c r="Q115" s="4">
        <f t="shared" si="92"/>
        <v>712.25062889878495</v>
      </c>
      <c r="R115" s="4">
        <f t="shared" si="102"/>
        <v>-20784.764738846512</v>
      </c>
      <c r="S115" s="4">
        <f t="shared" si="93"/>
        <v>-71432.883645380425</v>
      </c>
      <c r="T115" s="63">
        <f t="shared" si="94"/>
        <v>378.2411453518871</v>
      </c>
      <c r="U115" s="4">
        <f t="shared" si="95"/>
        <v>52386.937508188523</v>
      </c>
      <c r="V115" s="124"/>
      <c r="W115" s="63">
        <f t="shared" ca="1" si="96"/>
        <v>1298847.5308287102</v>
      </c>
      <c r="X115" s="4">
        <f t="shared" si="97"/>
        <v>0</v>
      </c>
      <c r="Y115" s="4">
        <f t="shared" ca="1" si="103"/>
        <v>6446.09141952763</v>
      </c>
      <c r="Z115" s="4">
        <f t="shared" ca="1" si="104"/>
        <v>116176.02691733633</v>
      </c>
      <c r="AA115" s="4">
        <f t="shared" ca="1" si="105"/>
        <v>1483181.6155305994</v>
      </c>
      <c r="AB115" s="4">
        <f t="shared" ca="1" si="106"/>
        <v>0</v>
      </c>
      <c r="AC115" s="4">
        <f t="shared" ca="1" si="107"/>
        <v>0</v>
      </c>
      <c r="AD115" s="4">
        <f ca="1">-SUM(W115:AC115)*IFERROR(IF(C115&lt;$F$8,IF($F$23="yes",M46/SUM(M46:$M$52),L46/SUM(L46:$L$52)),IF($F$23="yes",M69/SUM(M69:$M$75),L69/SUM(L69:$L$75))),0)</f>
        <v>-487057.40459344571</v>
      </c>
      <c r="AE115" s="4">
        <f t="shared" ca="1" si="98"/>
        <v>2417593.8601027275</v>
      </c>
      <c r="AF115" s="124"/>
      <c r="AG115" s="63">
        <f t="shared" ca="1" si="99"/>
        <v>0</v>
      </c>
      <c r="AH115" s="4">
        <f t="shared" si="100"/>
        <v>0</v>
      </c>
      <c r="AI115" s="63">
        <f t="shared" ca="1" si="108"/>
        <v>0</v>
      </c>
      <c r="AJ115" s="63">
        <f t="shared" ca="1" si="109"/>
        <v>0</v>
      </c>
      <c r="AK115" s="4">
        <f t="shared" ca="1" si="110"/>
        <v>0</v>
      </c>
      <c r="AL115" s="4">
        <f t="shared" ca="1" si="111"/>
        <v>0</v>
      </c>
      <c r="AM115" s="4">
        <f t="shared" ca="1" si="112"/>
        <v>0</v>
      </c>
      <c r="AN115" s="4">
        <f ca="1">-SUM(AG115:AM115)*IFERROR(IF(C115&lt;$F$8,IF($F$23="yes",M46/SUM(M46:$M$52),L46/SUM(L46:$L$52)),IF($F$23="yes",M69/SUM(M69:$M$75),L69/SUM(L69:$L$75))),0)</f>
        <v>0</v>
      </c>
      <c r="AO115" s="4">
        <f t="shared" ca="1" si="101"/>
        <v>0</v>
      </c>
      <c r="AP115" s="124"/>
      <c r="AQ115" s="70"/>
      <c r="AR115" s="70"/>
      <c r="AS115" s="70"/>
      <c r="AT115" s="22"/>
      <c r="AU115" s="125"/>
      <c r="AX115" s="126"/>
      <c r="AZ115" s="4"/>
    </row>
    <row r="116" spans="1:52" s="2" customFormat="1" outlineLevel="1" x14ac:dyDescent="0.55000000000000004">
      <c r="A116" s="9"/>
      <c r="B116" s="1" t="s">
        <v>19</v>
      </c>
      <c r="C116" s="3">
        <v>8</v>
      </c>
      <c r="D116" s="13"/>
      <c r="E116" s="63">
        <f t="shared" ca="1" si="81"/>
        <v>-1200069.5035325864</v>
      </c>
      <c r="F116" s="63">
        <f t="shared" si="82"/>
        <v>0</v>
      </c>
      <c r="G116" s="63">
        <f t="shared" si="83"/>
        <v>623714.23336880712</v>
      </c>
      <c r="H116" s="63">
        <f t="shared" ca="1" si="84"/>
        <v>-1435.5161490968858</v>
      </c>
      <c r="I116" s="63">
        <f t="shared" si="85"/>
        <v>-369837.45467440371</v>
      </c>
      <c r="J116" s="63">
        <f t="shared" ca="1" si="86"/>
        <v>0</v>
      </c>
      <c r="K116" s="63">
        <f t="shared" si="87"/>
        <v>0</v>
      </c>
      <c r="L116" s="63">
        <f t="shared" si="88"/>
        <v>0</v>
      </c>
      <c r="M116" s="63">
        <f t="shared" ca="1" si="89"/>
        <v>-947628.24098727992</v>
      </c>
      <c r="N116" s="124"/>
      <c r="O116" s="63">
        <f t="shared" si="90"/>
        <v>52386.937508188523</v>
      </c>
      <c r="P116" s="63">
        <f t="shared" si="91"/>
        <v>0</v>
      </c>
      <c r="Q116" s="4">
        <f t="shared" si="92"/>
        <v>130.47906159227836</v>
      </c>
      <c r="R116" s="4">
        <f t="shared" si="102"/>
        <v>-11095.123640232116</v>
      </c>
      <c r="S116" s="4">
        <f t="shared" si="93"/>
        <v>0</v>
      </c>
      <c r="T116" s="63">
        <f t="shared" si="94"/>
        <v>0</v>
      </c>
      <c r="U116" s="4">
        <f t="shared" si="95"/>
        <v>41422.292929548683</v>
      </c>
      <c r="V116" s="124"/>
      <c r="W116" s="63">
        <f t="shared" ca="1" si="96"/>
        <v>2417593.8601027275</v>
      </c>
      <c r="X116" s="4">
        <f t="shared" si="97"/>
        <v>0</v>
      </c>
      <c r="Y116" s="4">
        <f t="shared" ca="1" si="103"/>
        <v>11998.352899487529</v>
      </c>
      <c r="Z116" s="4">
        <f t="shared" ca="1" si="104"/>
        <v>0</v>
      </c>
      <c r="AA116" s="4">
        <f t="shared" ca="1" si="105"/>
        <v>0</v>
      </c>
      <c r="AB116" s="4">
        <f t="shared" ca="1" si="106"/>
        <v>0</v>
      </c>
      <c r="AC116" s="4">
        <f t="shared" ca="1" si="107"/>
        <v>0</v>
      </c>
      <c r="AD116" s="4">
        <f ca="1">-SUM(W116:AC116)*IFERROR(IF(C116&lt;$F$8,IF($F$23="yes",M47/SUM(M47:$M$52),L47/SUM(L47:$L$52)),IF($F$23="yes",M70/SUM(M70:$M$75),L70/SUM(L70:$L$75))),0)</f>
        <v>-516793.54500409693</v>
      </c>
      <c r="AE116" s="4">
        <f t="shared" ca="1" si="98"/>
        <v>1912798.6679981183</v>
      </c>
      <c r="AF116" s="124"/>
      <c r="AG116" s="63">
        <f t="shared" ca="1" si="99"/>
        <v>0</v>
      </c>
      <c r="AH116" s="4">
        <f t="shared" si="100"/>
        <v>0</v>
      </c>
      <c r="AI116" s="63">
        <f t="shared" ca="1" si="108"/>
        <v>0</v>
      </c>
      <c r="AJ116" s="63">
        <f t="shared" si="109"/>
        <v>0</v>
      </c>
      <c r="AK116" s="4">
        <f t="shared" ca="1" si="110"/>
        <v>0</v>
      </c>
      <c r="AL116" s="4">
        <f t="shared" ca="1" si="111"/>
        <v>0</v>
      </c>
      <c r="AM116" s="4">
        <f t="shared" ca="1" si="112"/>
        <v>0</v>
      </c>
      <c r="AN116" s="4">
        <f ca="1">-SUM(AG116:AM116)*IFERROR(IF(C116&lt;$F$8,IF($F$23="yes",M47/SUM(M47:$M$52),L47/SUM(L47:$L$52)),IF($F$23="yes",M70/SUM(M70:$M$75),L70/SUM(L70:$L$75))),0)</f>
        <v>0</v>
      </c>
      <c r="AO116" s="4">
        <f t="shared" ca="1" si="101"/>
        <v>0</v>
      </c>
      <c r="AP116" s="124"/>
      <c r="AQ116" s="70"/>
      <c r="AR116" s="70"/>
      <c r="AS116" s="70"/>
      <c r="AT116" s="22"/>
      <c r="AU116" s="125"/>
      <c r="AX116" s="126"/>
      <c r="AZ116" s="4"/>
    </row>
    <row r="117" spans="1:52" s="2" customFormat="1" outlineLevel="1" x14ac:dyDescent="0.55000000000000004">
      <c r="A117" s="9"/>
      <c r="B117" s="1" t="s">
        <v>20</v>
      </c>
      <c r="C117" s="3">
        <v>9</v>
      </c>
      <c r="D117" s="13"/>
      <c r="E117" s="63">
        <f t="shared" ca="1" si="81"/>
        <v>-947628.24098727992</v>
      </c>
      <c r="F117" s="63">
        <f t="shared" si="82"/>
        <v>0</v>
      </c>
      <c r="G117" s="63">
        <f t="shared" si="83"/>
        <v>607500</v>
      </c>
      <c r="H117" s="63">
        <f t="shared" ca="1" si="84"/>
        <v>-847.15037404344707</v>
      </c>
      <c r="I117" s="63">
        <f t="shared" si="85"/>
        <v>-360598.67830430553</v>
      </c>
      <c r="J117" s="63">
        <f t="shared" ca="1" si="86"/>
        <v>0</v>
      </c>
      <c r="K117" s="63">
        <f t="shared" si="87"/>
        <v>0</v>
      </c>
      <c r="L117" s="63">
        <f t="shared" si="88"/>
        <v>0</v>
      </c>
      <c r="M117" s="63">
        <f t="shared" ca="1" si="89"/>
        <v>-701574.06966562895</v>
      </c>
      <c r="N117" s="124"/>
      <c r="O117" s="63">
        <f t="shared" si="90"/>
        <v>41422.292929548683</v>
      </c>
      <c r="P117" s="63">
        <f t="shared" si="91"/>
        <v>0</v>
      </c>
      <c r="Q117" s="4">
        <f t="shared" si="92"/>
        <v>103.1696481513769</v>
      </c>
      <c r="R117" s="4">
        <f t="shared" si="102"/>
        <v>-10817.960349129167</v>
      </c>
      <c r="S117" s="4">
        <f t="shared" si="93"/>
        <v>0</v>
      </c>
      <c r="T117" s="63">
        <f t="shared" si="94"/>
        <v>0</v>
      </c>
      <c r="U117" s="4">
        <f t="shared" si="95"/>
        <v>30707.502228570895</v>
      </c>
      <c r="V117" s="124"/>
      <c r="W117" s="63">
        <f t="shared" ca="1" si="96"/>
        <v>1912798.6679981183</v>
      </c>
      <c r="X117" s="4">
        <f t="shared" si="97"/>
        <v>0</v>
      </c>
      <c r="Y117" s="4">
        <f t="shared" ca="1" si="103"/>
        <v>9493.088902590076</v>
      </c>
      <c r="Z117" s="4">
        <f t="shared" ca="1" si="104"/>
        <v>0</v>
      </c>
      <c r="AA117" s="4">
        <f t="shared" ca="1" si="105"/>
        <v>0</v>
      </c>
      <c r="AB117" s="4">
        <f t="shared" ca="1" si="106"/>
        <v>0</v>
      </c>
      <c r="AC117" s="4">
        <f t="shared" ca="1" si="107"/>
        <v>0</v>
      </c>
      <c r="AD117" s="4">
        <f ca="1">-SUM(W117:AC117)*IFERROR(IF(C117&lt;$F$8,IF($F$23="yes",M48/SUM(M48:$M$52),L48/SUM(L48:$L$52)),IF($F$23="yes",M71/SUM(M71:$M$75),L71/SUM(L71:$L$75))),0)</f>
        <v>-503358.84896240075</v>
      </c>
      <c r="AE117" s="4">
        <f t="shared" ca="1" si="98"/>
        <v>1418932.9079383076</v>
      </c>
      <c r="AF117" s="124"/>
      <c r="AG117" s="63">
        <f t="shared" ca="1" si="99"/>
        <v>0</v>
      </c>
      <c r="AH117" s="4">
        <f t="shared" si="100"/>
        <v>0</v>
      </c>
      <c r="AI117" s="63">
        <f t="shared" ca="1" si="108"/>
        <v>0</v>
      </c>
      <c r="AJ117" s="63">
        <f t="shared" si="109"/>
        <v>0</v>
      </c>
      <c r="AK117" s="4">
        <f t="shared" ca="1" si="110"/>
        <v>0</v>
      </c>
      <c r="AL117" s="4">
        <f t="shared" ca="1" si="111"/>
        <v>0</v>
      </c>
      <c r="AM117" s="4">
        <f t="shared" ca="1" si="112"/>
        <v>0</v>
      </c>
      <c r="AN117" s="4">
        <f ca="1">-SUM(AG117:AM117)*IFERROR(IF(C117&lt;$F$8,IF($F$23="yes",M48/SUM(M48:$M$52),L48/SUM(L48:$L$52)),IF($F$23="yes",M71/SUM(M71:$M$75),L71/SUM(L71:$L$75))),0)</f>
        <v>0</v>
      </c>
      <c r="AO117" s="4">
        <f t="shared" ca="1" si="101"/>
        <v>0</v>
      </c>
      <c r="AP117" s="124"/>
      <c r="AQ117" s="70"/>
      <c r="AR117" s="70"/>
      <c r="AS117" s="70"/>
      <c r="AX117" s="126"/>
      <c r="AZ117" s="4"/>
    </row>
    <row r="118" spans="1:52" s="2" customFormat="1" outlineLevel="1" x14ac:dyDescent="0.55000000000000004">
      <c r="A118" s="9"/>
      <c r="B118" s="1" t="s">
        <v>21</v>
      </c>
      <c r="C118" s="3">
        <v>10</v>
      </c>
      <c r="D118" s="13"/>
      <c r="E118" s="63">
        <f t="shared" ca="1" si="81"/>
        <v>-701574.06966562895</v>
      </c>
      <c r="F118" s="63">
        <f t="shared" si="82"/>
        <v>0</v>
      </c>
      <c r="G118" s="63">
        <f t="shared" si="83"/>
        <v>591707.27595336782</v>
      </c>
      <c r="H118" s="63">
        <f t="shared" ca="1" si="84"/>
        <v>-273.64295042991455</v>
      </c>
      <c r="I118" s="63">
        <f t="shared" si="85"/>
        <v>-351590.76745995128</v>
      </c>
      <c r="J118" s="63">
        <f t="shared" ca="1" si="86"/>
        <v>0</v>
      </c>
      <c r="K118" s="63">
        <f t="shared" si="87"/>
        <v>0</v>
      </c>
      <c r="L118" s="63">
        <f t="shared" si="88"/>
        <v>0</v>
      </c>
      <c r="M118" s="63">
        <f t="shared" ca="1" si="89"/>
        <v>-461731.20412264235</v>
      </c>
      <c r="N118" s="124"/>
      <c r="O118" s="63">
        <f t="shared" si="90"/>
        <v>30707.502228570895</v>
      </c>
      <c r="P118" s="63">
        <f t="shared" si="91"/>
        <v>0</v>
      </c>
      <c r="Q118" s="4">
        <f t="shared" si="92"/>
        <v>76.48254059517123</v>
      </c>
      <c r="R118" s="4">
        <f t="shared" si="102"/>
        <v>-10547.723023798535</v>
      </c>
      <c r="S118" s="4">
        <f t="shared" si="93"/>
        <v>0</v>
      </c>
      <c r="T118" s="63">
        <f t="shared" si="94"/>
        <v>0</v>
      </c>
      <c r="U118" s="4">
        <f t="shared" si="95"/>
        <v>20236.26174536753</v>
      </c>
      <c r="V118" s="124"/>
      <c r="W118" s="63">
        <f t="shared" ca="1" si="96"/>
        <v>1418932.9079383076</v>
      </c>
      <c r="X118" s="4">
        <f t="shared" si="97"/>
        <v>0</v>
      </c>
      <c r="Y118" s="4">
        <f t="shared" ca="1" si="103"/>
        <v>7042.0669290649384</v>
      </c>
      <c r="Z118" s="4">
        <f t="shared" ca="1" si="104"/>
        <v>0</v>
      </c>
      <c r="AA118" s="4">
        <f t="shared" ca="1" si="105"/>
        <v>0</v>
      </c>
      <c r="AB118" s="4">
        <f t="shared" ca="1" si="106"/>
        <v>0</v>
      </c>
      <c r="AC118" s="4">
        <f t="shared" ca="1" si="107"/>
        <v>0</v>
      </c>
      <c r="AD118" s="4">
        <f ca="1">-SUM(W118:AC118)*IFERROR(IF(C118&lt;$F$8,IF($F$23="yes",M49/SUM(M49:$M$52),L49/SUM(L49:$L$52)),IF($F$23="yes",M72/SUM(M72:$M$75),L72/SUM(L72:$L$75))),0)</f>
        <v>-490273.4046857034</v>
      </c>
      <c r="AE118" s="4">
        <f t="shared" ca="1" si="98"/>
        <v>935701.5701816692</v>
      </c>
      <c r="AF118" s="124"/>
      <c r="AG118" s="63">
        <f t="shared" ca="1" si="99"/>
        <v>0</v>
      </c>
      <c r="AH118" s="4">
        <f t="shared" si="100"/>
        <v>0</v>
      </c>
      <c r="AI118" s="63">
        <f t="shared" ca="1" si="108"/>
        <v>0</v>
      </c>
      <c r="AJ118" s="63">
        <f t="shared" si="109"/>
        <v>0</v>
      </c>
      <c r="AK118" s="4">
        <f t="shared" ca="1" si="110"/>
        <v>0</v>
      </c>
      <c r="AL118" s="4">
        <f t="shared" ca="1" si="111"/>
        <v>0</v>
      </c>
      <c r="AM118" s="4">
        <f t="shared" ca="1" si="112"/>
        <v>0</v>
      </c>
      <c r="AN118" s="4">
        <f ca="1">-SUM(AG118:AM118)*IFERROR(IF(C118&lt;$F$8,IF($F$23="yes",M49/SUM(M49:$M$52),L49/SUM(L49:$L$52)),IF($F$23="yes",M72/SUM(M72:$M$75),L72/SUM(L72:$L$75))),0)</f>
        <v>0</v>
      </c>
      <c r="AO118" s="4">
        <f t="shared" ca="1" si="101"/>
        <v>0</v>
      </c>
      <c r="AP118" s="124"/>
      <c r="AQ118" s="70"/>
      <c r="AR118" s="70"/>
      <c r="AS118" s="70"/>
      <c r="AX118" s="126"/>
      <c r="AZ118" s="4"/>
    </row>
    <row r="119" spans="1:52" s="2" customFormat="1" outlineLevel="1" x14ac:dyDescent="0.55000000000000004">
      <c r="A119" s="9"/>
      <c r="B119" s="1" t="s">
        <v>22</v>
      </c>
      <c r="C119" s="3">
        <v>11</v>
      </c>
      <c r="D119" s="13"/>
      <c r="E119" s="63">
        <f t="shared" ca="1" si="81"/>
        <v>-461731.20412264235</v>
      </c>
      <c r="F119" s="63">
        <f t="shared" si="82"/>
        <v>0</v>
      </c>
      <c r="G119" s="63">
        <f t="shared" si="83"/>
        <v>576325.1035656872</v>
      </c>
      <c r="H119" s="63">
        <f t="shared" ca="1" si="84"/>
        <v>285.41665489018635</v>
      </c>
      <c r="I119" s="63">
        <f t="shared" si="85"/>
        <v>-342807.9511655505</v>
      </c>
      <c r="J119" s="63">
        <f t="shared" ca="1" si="86"/>
        <v>0</v>
      </c>
      <c r="K119" s="63">
        <f t="shared" si="87"/>
        <v>0</v>
      </c>
      <c r="L119" s="63">
        <f t="shared" si="88"/>
        <v>0</v>
      </c>
      <c r="M119" s="63">
        <f t="shared" ca="1" si="89"/>
        <v>-227928.63506761548</v>
      </c>
      <c r="N119" s="124"/>
      <c r="O119" s="63">
        <f t="shared" si="90"/>
        <v>20236.26174536753</v>
      </c>
      <c r="P119" s="63">
        <f t="shared" si="91"/>
        <v>0</v>
      </c>
      <c r="Q119" s="4">
        <f t="shared" si="92"/>
        <v>50.402038528374717</v>
      </c>
      <c r="R119" s="4">
        <f t="shared" si="102"/>
        <v>-10284.238534966511</v>
      </c>
      <c r="S119" s="4">
        <f t="shared" si="93"/>
        <v>0</v>
      </c>
      <c r="T119" s="63">
        <f t="shared" si="94"/>
        <v>0</v>
      </c>
      <c r="U119" s="4">
        <f t="shared" si="95"/>
        <v>10002.425248929392</v>
      </c>
      <c r="V119" s="124"/>
      <c r="W119" s="63">
        <f t="shared" ca="1" si="96"/>
        <v>935701.5701816692</v>
      </c>
      <c r="X119" s="4">
        <f t="shared" si="97"/>
        <v>0</v>
      </c>
      <c r="Y119" s="4">
        <f t="shared" ca="1" si="103"/>
        <v>4643.8228657509972</v>
      </c>
      <c r="Z119" s="4">
        <f t="shared" ca="1" si="104"/>
        <v>0</v>
      </c>
      <c r="AA119" s="4">
        <f t="shared" ca="1" si="105"/>
        <v>0</v>
      </c>
      <c r="AB119" s="4">
        <f t="shared" ca="1" si="106"/>
        <v>0</v>
      </c>
      <c r="AC119" s="4">
        <f t="shared" ca="1" si="107"/>
        <v>0</v>
      </c>
      <c r="AD119" s="4">
        <f ca="1">-SUM(W119:AC119)*IFERROR(IF(C119&lt;$F$8,IF($F$23="yes",M50/SUM(M50:$M$52),L50/SUM(L50:$L$52)),IF($F$23="yes",M73/SUM(M73:$M$75),L73/SUM(L73:$L$75))),0)</f>
        <v>-477528.13293656067</v>
      </c>
      <c r="AE119" s="4">
        <f t="shared" ca="1" si="98"/>
        <v>462817.26011085953</v>
      </c>
      <c r="AF119" s="124"/>
      <c r="AG119" s="63">
        <f t="shared" ca="1" si="99"/>
        <v>0</v>
      </c>
      <c r="AH119" s="4">
        <f t="shared" si="100"/>
        <v>0</v>
      </c>
      <c r="AI119" s="63">
        <f t="shared" ca="1" si="108"/>
        <v>0</v>
      </c>
      <c r="AJ119" s="63">
        <f t="shared" si="109"/>
        <v>0</v>
      </c>
      <c r="AK119" s="4">
        <f t="shared" ca="1" si="110"/>
        <v>0</v>
      </c>
      <c r="AL119" s="4">
        <f t="shared" ca="1" si="111"/>
        <v>0</v>
      </c>
      <c r="AM119" s="4">
        <f t="shared" ca="1" si="112"/>
        <v>0</v>
      </c>
      <c r="AN119" s="4">
        <f ca="1">-SUM(AG119:AM119)*IFERROR(IF(C119&lt;$F$8,IF($F$23="yes",M50/SUM(M50:$M$52),L50/SUM(L50:$L$52)),IF($F$23="yes",M73/SUM(M73:$M$75),L73/SUM(L73:$L$75))),0)</f>
        <v>0</v>
      </c>
      <c r="AO119" s="4">
        <f t="shared" ca="1" si="101"/>
        <v>0</v>
      </c>
      <c r="AP119" s="124"/>
      <c r="AQ119" s="70"/>
      <c r="AR119" s="70"/>
      <c r="AS119" s="70"/>
      <c r="AX119" s="126"/>
      <c r="AZ119" s="4"/>
    </row>
    <row r="120" spans="1:52" s="2" customFormat="1" outlineLevel="1" x14ac:dyDescent="0.55000000000000004">
      <c r="A120" s="9"/>
      <c r="B120" s="1" t="s">
        <v>23</v>
      </c>
      <c r="C120" s="3">
        <v>12</v>
      </c>
      <c r="D120" s="13"/>
      <c r="E120" s="63">
        <f t="shared" ca="1" si="81"/>
        <v>-227928.63506761548</v>
      </c>
      <c r="F120" s="63">
        <f t="shared" si="82"/>
        <v>0</v>
      </c>
      <c r="G120" s="63">
        <f t="shared" si="83"/>
        <v>561342.81003192649</v>
      </c>
      <c r="H120" s="63">
        <f t="shared" ca="1" si="84"/>
        <v>830.42778868505218</v>
      </c>
      <c r="I120" s="63">
        <f t="shared" si="85"/>
        <v>-334244.60275299812</v>
      </c>
      <c r="J120" s="63">
        <f t="shared" ca="1" si="86"/>
        <v>0</v>
      </c>
      <c r="K120" s="63">
        <f t="shared" si="87"/>
        <v>0</v>
      </c>
      <c r="L120" s="63">
        <f t="shared" si="88"/>
        <v>0</v>
      </c>
      <c r="M120" s="63">
        <f t="shared" ca="1" si="89"/>
        <v>-2.0372681319713593E-9</v>
      </c>
      <c r="N120" s="124"/>
      <c r="O120" s="63">
        <f t="shared" si="90"/>
        <v>10002.425248929392</v>
      </c>
      <c r="P120" s="63">
        <f t="shared" si="91"/>
        <v>0</v>
      </c>
      <c r="Q120" s="4">
        <f t="shared" si="92"/>
        <v>24.912833660551719</v>
      </c>
      <c r="R120" s="4">
        <f t="shared" si="102"/>
        <v>-10027.338082589944</v>
      </c>
      <c r="S120" s="4">
        <f t="shared" si="93"/>
        <v>0</v>
      </c>
      <c r="T120" s="63">
        <f t="shared" si="94"/>
        <v>0</v>
      </c>
      <c r="U120" s="4">
        <f t="shared" si="95"/>
        <v>0</v>
      </c>
      <c r="V120" s="124"/>
      <c r="W120" s="63">
        <f t="shared" ca="1" si="96"/>
        <v>462817.26011085953</v>
      </c>
      <c r="X120" s="4">
        <f t="shared" si="97"/>
        <v>0</v>
      </c>
      <c r="Y120" s="4">
        <f t="shared" ca="1" si="103"/>
        <v>2296.9303928278705</v>
      </c>
      <c r="Z120" s="4">
        <f t="shared" ca="1" si="104"/>
        <v>0</v>
      </c>
      <c r="AA120" s="4">
        <f t="shared" ca="1" si="105"/>
        <v>0</v>
      </c>
      <c r="AB120" s="4">
        <f t="shared" ca="1" si="106"/>
        <v>0</v>
      </c>
      <c r="AC120" s="4">
        <f t="shared" ca="1" si="107"/>
        <v>0</v>
      </c>
      <c r="AD120" s="4">
        <f ca="1">-SUM(W120:AC120)*IFERROR(IF(C120&lt;$F$8,IF($F$23="yes",M51/SUM(M51:$M$52),L51/SUM(L51:$L$52)),IF($F$23="yes",M74/SUM(M74:$M$75),L74/SUM(L74:$L$75))),0)</f>
        <v>-465114.19050368742</v>
      </c>
      <c r="AE120" s="4">
        <f t="shared" ca="1" si="98"/>
        <v>0</v>
      </c>
      <c r="AF120" s="124"/>
      <c r="AG120" s="63">
        <f t="shared" ca="1" si="99"/>
        <v>0</v>
      </c>
      <c r="AH120" s="4">
        <f t="shared" si="100"/>
        <v>0</v>
      </c>
      <c r="AI120" s="63">
        <f t="shared" ca="1" si="108"/>
        <v>0</v>
      </c>
      <c r="AJ120" s="63">
        <f t="shared" si="109"/>
        <v>0</v>
      </c>
      <c r="AK120" s="4">
        <f t="shared" ca="1" si="110"/>
        <v>0</v>
      </c>
      <c r="AL120" s="4">
        <f t="shared" ca="1" si="111"/>
        <v>0</v>
      </c>
      <c r="AM120" s="4">
        <f t="shared" ca="1" si="112"/>
        <v>0</v>
      </c>
      <c r="AN120" s="4">
        <f ca="1">-SUM(AG120:AM120)*IFERROR(IF(C120&lt;$F$8,IF($F$23="yes",M51/SUM(M51:$M$52),L51/SUM(L51:$L$52)),IF($F$23="yes",M74/SUM(M74:$M$75),L74/SUM(L74:$L$75))),0)</f>
        <v>0</v>
      </c>
      <c r="AO120" s="4">
        <f t="shared" ca="1" si="101"/>
        <v>0</v>
      </c>
      <c r="AP120" s="124"/>
      <c r="AQ120" s="70"/>
      <c r="AR120" s="70"/>
      <c r="AS120" s="70"/>
      <c r="AX120" s="126"/>
      <c r="AZ120" s="4"/>
    </row>
    <row r="121" spans="1:52" s="2" customFormat="1" outlineLevel="1" x14ac:dyDescent="0.55000000000000004">
      <c r="A121"/>
      <c r="B121" s="8"/>
      <c r="C121" s="6"/>
      <c r="D121" s="13"/>
      <c r="E121" s="7"/>
      <c r="F121" s="7"/>
      <c r="G121" s="7"/>
      <c r="H121" s="7"/>
      <c r="I121" s="7"/>
      <c r="J121" s="7"/>
      <c r="K121" s="7"/>
      <c r="L121" s="7"/>
      <c r="M121" s="7"/>
      <c r="O121" s="7"/>
      <c r="P121" s="7"/>
      <c r="Q121" s="7"/>
      <c r="R121" s="7"/>
      <c r="S121" s="7"/>
      <c r="T121" s="7"/>
      <c r="U121" s="7"/>
      <c r="W121" s="7"/>
      <c r="X121" s="7"/>
      <c r="Y121" s="7"/>
      <c r="Z121" s="7"/>
      <c r="AA121" s="7"/>
      <c r="AB121" s="7"/>
      <c r="AC121" s="7"/>
      <c r="AD121" s="7"/>
      <c r="AE121" s="7"/>
      <c r="AG121" s="7"/>
      <c r="AH121" s="7"/>
      <c r="AI121" s="7"/>
      <c r="AJ121" s="7"/>
      <c r="AK121" s="7"/>
      <c r="AL121" s="7"/>
      <c r="AM121" s="7"/>
      <c r="AN121" s="7"/>
      <c r="AO121" s="7"/>
      <c r="AQ121" s="70"/>
      <c r="AR121" s="70"/>
      <c r="AS121" s="70"/>
    </row>
    <row r="122" spans="1:52" s="2" customFormat="1" outlineLevel="1" x14ac:dyDescent="0.55000000000000004">
      <c r="A122" s="9"/>
      <c r="B122" s="4"/>
      <c r="C122" s="4"/>
      <c r="D122" s="13"/>
      <c r="AQ122" s="70"/>
      <c r="AR122" s="70"/>
      <c r="AS122" s="70"/>
    </row>
    <row r="123" spans="1:52" s="2" customFormat="1" outlineLevel="1" x14ac:dyDescent="0.55000000000000004">
      <c r="A123" s="9"/>
      <c r="B123" s="24"/>
      <c r="C123" s="24"/>
      <c r="D123" s="13"/>
      <c r="F123" s="52">
        <f t="shared" ref="F123:L123" ca="1" si="113">SUM(F108:F120)</f>
        <v>-3286061.7878598114</v>
      </c>
      <c r="G123" s="52">
        <f t="shared" si="113"/>
        <v>8329240.0609883014</v>
      </c>
      <c r="H123" s="52">
        <f t="shared" ca="1" si="113"/>
        <v>-11077.075066580512</v>
      </c>
      <c r="I123" s="52">
        <f t="shared" si="113"/>
        <v>-3618916.2757727657</v>
      </c>
      <c r="J123" s="52">
        <f t="shared" ca="1" si="113"/>
        <v>0</v>
      </c>
      <c r="K123" s="52">
        <f t="shared" ca="1" si="113"/>
        <v>-1411748.731885219</v>
      </c>
      <c r="L123" s="52">
        <f t="shared" ca="1" si="113"/>
        <v>-1436.1904039254878</v>
      </c>
      <c r="P123" s="52">
        <f t="shared" ref="P123:T123" si="114">SUM(P108:P120)</f>
        <v>210033.16964305146</v>
      </c>
      <c r="Q123" s="52">
        <f t="shared" si="114"/>
        <v>6785.6975584712445</v>
      </c>
      <c r="R123" s="52">
        <f t="shared" si="114"/>
        <v>-145764.22470149407</v>
      </c>
      <c r="S123" s="52">
        <f t="shared" si="114"/>
        <v>-71432.883645380425</v>
      </c>
      <c r="T123" s="52">
        <f t="shared" si="114"/>
        <v>378.2411453518871</v>
      </c>
      <c r="X123" s="52">
        <f t="shared" ref="X123:AD123" ca="1" si="115">SUM(X108:X120)</f>
        <v>3076028.61821676</v>
      </c>
      <c r="Y123" s="52">
        <f t="shared" ca="1" si="115"/>
        <v>110110.52830523931</v>
      </c>
      <c r="Z123" s="52">
        <f t="shared" ca="1" si="115"/>
        <v>116176.02691733633</v>
      </c>
      <c r="AA123" s="52">
        <f t="shared" ca="1" si="115"/>
        <v>1483181.6155305994</v>
      </c>
      <c r="AB123" s="52">
        <f t="shared" ca="1" si="115"/>
        <v>0</v>
      </c>
      <c r="AC123" s="52">
        <f t="shared" ca="1" si="115"/>
        <v>0</v>
      </c>
      <c r="AD123" s="52">
        <f t="shared" ca="1" si="115"/>
        <v>-4785496.7889699349</v>
      </c>
      <c r="AH123" s="52">
        <f t="shared" ref="AH123:AN123" ca="1" si="116">SUM(AH108:AH120)</f>
        <v>0</v>
      </c>
      <c r="AI123" s="52">
        <f t="shared" ca="1" si="116"/>
        <v>0</v>
      </c>
      <c r="AJ123" s="52">
        <f t="shared" ca="1" si="116"/>
        <v>0</v>
      </c>
      <c r="AK123" s="52">
        <f t="shared" ca="1" si="116"/>
        <v>0</v>
      </c>
      <c r="AL123" s="52">
        <f t="shared" ca="1" si="116"/>
        <v>0</v>
      </c>
      <c r="AM123" s="52">
        <f t="shared" ca="1" si="116"/>
        <v>0</v>
      </c>
      <c r="AN123" s="52">
        <f t="shared" ca="1" si="116"/>
        <v>0</v>
      </c>
      <c r="AQ123" s="70"/>
      <c r="AR123" s="70"/>
      <c r="AS123" s="70"/>
    </row>
    <row r="124" spans="1:52" s="2" customFormat="1" x14ac:dyDescent="0.55000000000000004">
      <c r="A124" s="9"/>
      <c r="B124" s="24"/>
      <c r="C124" s="24"/>
      <c r="D124" s="4"/>
      <c r="E124" s="4"/>
      <c r="AL124" s="70"/>
      <c r="AM124" s="70"/>
      <c r="AN124" s="70"/>
    </row>
    <row r="125" spans="1:52" s="2" customFormat="1" x14ac:dyDescent="0.55000000000000004">
      <c r="A125" s="9"/>
      <c r="B125" s="24"/>
      <c r="C125" s="24"/>
      <c r="D125" s="4"/>
      <c r="E125" s="4"/>
      <c r="AL125" s="70"/>
      <c r="AM125" s="70"/>
      <c r="AN125" s="70"/>
    </row>
    <row r="126" spans="1:52" s="70" customFormat="1" ht="18.3" x14ac:dyDescent="0.55000000000000004">
      <c r="B126" s="145" t="s">
        <v>175</v>
      </c>
      <c r="AG126" s="75"/>
      <c r="AK126" s="55"/>
    </row>
    <row r="127" spans="1:52" s="70" customFormat="1" outlineLevel="1" x14ac:dyDescent="0.55000000000000004">
      <c r="B127" s="55"/>
      <c r="C127" s="55"/>
      <c r="D127" s="55"/>
      <c r="E127" s="55"/>
      <c r="F127" s="55"/>
      <c r="G127" s="55"/>
      <c r="H127" s="55"/>
      <c r="I127" s="55"/>
      <c r="J127" s="55"/>
      <c r="K127" s="55"/>
      <c r="L127" s="55"/>
      <c r="M127" s="55"/>
      <c r="N127" s="55"/>
      <c r="O127" s="55"/>
      <c r="P127" s="55"/>
      <c r="Q127" s="55"/>
      <c r="R127" s="55"/>
      <c r="S127" s="55"/>
      <c r="T127" s="55"/>
      <c r="U127" s="55"/>
      <c r="V127" s="55"/>
      <c r="AG127" s="75"/>
    </row>
    <row r="128" spans="1:52" s="70" customFormat="1" outlineLevel="1" x14ac:dyDescent="0.55000000000000004">
      <c r="B128" s="176" t="s">
        <v>10</v>
      </c>
      <c r="C128" s="176"/>
      <c r="E128" s="176" t="s">
        <v>125</v>
      </c>
      <c r="F128" s="176"/>
      <c r="G128" s="176"/>
      <c r="H128" s="176"/>
      <c r="I128" s="176"/>
      <c r="J128" s="176"/>
      <c r="L128" s="176" t="s">
        <v>391</v>
      </c>
      <c r="M128" s="176"/>
      <c r="N128" s="176"/>
      <c r="O128" s="176"/>
      <c r="P128" s="176"/>
      <c r="R128" s="176" t="s">
        <v>67</v>
      </c>
      <c r="S128" s="176"/>
      <c r="T128" s="176"/>
      <c r="U128" s="176"/>
      <c r="V128" s="176"/>
      <c r="W128" s="176"/>
      <c r="X128" s="176"/>
      <c r="Y128" s="176"/>
      <c r="Z128" s="176"/>
      <c r="AB128" s="153" t="s">
        <v>146</v>
      </c>
      <c r="AD128" s="177" t="s">
        <v>5</v>
      </c>
      <c r="AE128" s="177"/>
      <c r="AG128" s="75"/>
    </row>
    <row r="129" spans="2:33" s="70" customFormat="1" ht="25.8" outlineLevel="1" x14ac:dyDescent="0.55000000000000004">
      <c r="B129" s="147" t="s">
        <v>149</v>
      </c>
      <c r="C129" s="147" t="s">
        <v>10</v>
      </c>
      <c r="E129" s="54" t="s">
        <v>11</v>
      </c>
      <c r="F129" s="54" t="s">
        <v>13</v>
      </c>
      <c r="G129" s="54" t="s">
        <v>398</v>
      </c>
      <c r="H129" s="54" t="s">
        <v>352</v>
      </c>
      <c r="I129" s="54" t="s">
        <v>396</v>
      </c>
      <c r="J129" s="54" t="s">
        <v>15</v>
      </c>
      <c r="L129" s="54" t="s">
        <v>11</v>
      </c>
      <c r="M129" s="54" t="s">
        <v>157</v>
      </c>
      <c r="N129" s="54" t="s">
        <v>13</v>
      </c>
      <c r="O129" s="54" t="s">
        <v>136</v>
      </c>
      <c r="P129" s="54" t="s">
        <v>15</v>
      </c>
      <c r="Q129" s="51"/>
      <c r="R129" s="54" t="s">
        <v>11</v>
      </c>
      <c r="S129" s="54" t="s">
        <v>38</v>
      </c>
      <c r="T129" s="54" t="s">
        <v>41</v>
      </c>
      <c r="U129" s="59" t="s">
        <v>13</v>
      </c>
      <c r="V129" s="56" t="s">
        <v>392</v>
      </c>
      <c r="W129" s="59" t="s">
        <v>14</v>
      </c>
      <c r="X129" s="54" t="s">
        <v>121</v>
      </c>
      <c r="Y129" s="54" t="s">
        <v>15</v>
      </c>
      <c r="Z129" s="54" t="s">
        <v>397</v>
      </c>
      <c r="AB129" s="76" t="s">
        <v>15</v>
      </c>
      <c r="AD129" s="161" t="s">
        <v>150</v>
      </c>
      <c r="AE129" s="161" t="s">
        <v>151</v>
      </c>
      <c r="AG129" s="75"/>
    </row>
    <row r="130" spans="2:33" s="70" customFormat="1" outlineLevel="1" x14ac:dyDescent="0.55000000000000004">
      <c r="B130" s="120" t="s">
        <v>312</v>
      </c>
      <c r="C130" s="120" t="s">
        <v>313</v>
      </c>
      <c r="E130" s="148" t="s">
        <v>314</v>
      </c>
      <c r="F130" s="148" t="s">
        <v>315</v>
      </c>
      <c r="G130" s="148" t="s">
        <v>316</v>
      </c>
      <c r="H130" s="148" t="s">
        <v>317</v>
      </c>
      <c r="I130" s="148" t="s">
        <v>318</v>
      </c>
      <c r="J130" s="148" t="s">
        <v>319</v>
      </c>
      <c r="L130" s="60" t="s">
        <v>320</v>
      </c>
      <c r="M130" s="60" t="s">
        <v>321</v>
      </c>
      <c r="N130" s="60" t="s">
        <v>322</v>
      </c>
      <c r="O130" s="60" t="s">
        <v>323</v>
      </c>
      <c r="P130" s="60" t="s">
        <v>324</v>
      </c>
      <c r="Q130" s="61"/>
      <c r="R130" s="60" t="s">
        <v>325</v>
      </c>
      <c r="S130" s="60" t="s">
        <v>326</v>
      </c>
      <c r="T130" s="60" t="s">
        <v>327</v>
      </c>
      <c r="U130" s="60" t="s">
        <v>328</v>
      </c>
      <c r="V130" s="60" t="s">
        <v>329</v>
      </c>
      <c r="W130" s="60" t="s">
        <v>330</v>
      </c>
      <c r="X130" s="60" t="s">
        <v>331</v>
      </c>
      <c r="Y130" s="60" t="s">
        <v>332</v>
      </c>
      <c r="Z130" s="60" t="s">
        <v>333</v>
      </c>
      <c r="AB130" s="60" t="s">
        <v>334</v>
      </c>
      <c r="AD130" s="60" t="s">
        <v>335</v>
      </c>
      <c r="AE130" s="60" t="s">
        <v>336</v>
      </c>
      <c r="AG130" s="75"/>
    </row>
    <row r="131" spans="2:33" s="70" customFormat="1" outlineLevel="1" x14ac:dyDescent="0.55000000000000004">
      <c r="B131" s="117"/>
      <c r="C131" s="118">
        <v>0</v>
      </c>
      <c r="L131" s="55"/>
      <c r="N131" s="55"/>
      <c r="O131" s="55"/>
      <c r="P131" s="55"/>
      <c r="Q131" s="55"/>
      <c r="R131" s="51"/>
      <c r="S131" s="51"/>
      <c r="T131" s="51"/>
      <c r="U131" s="64"/>
      <c r="V131" s="51"/>
      <c r="W131" s="51"/>
      <c r="X131" s="51"/>
      <c r="Y131" s="51"/>
      <c r="Z131" s="51"/>
      <c r="AB131" s="51"/>
      <c r="AD131" s="51"/>
      <c r="AE131" s="65"/>
      <c r="AG131" s="75"/>
    </row>
    <row r="132" spans="2:33" s="70" customFormat="1" outlineLevel="1" x14ac:dyDescent="0.55000000000000004">
      <c r="B132" s="117" t="s">
        <v>6</v>
      </c>
      <c r="C132" s="118">
        <v>1</v>
      </c>
      <c r="E132" s="51">
        <f>IF(C132=1,Z39,J131)*(1-(F26="immediate"))</f>
        <v>-900000</v>
      </c>
      <c r="F132" s="51">
        <f>IF($F$27="yes",E132*((1+$F$17)^(1/4)-1),0)</f>
        <v>-4466.6384158834389</v>
      </c>
      <c r="G132" s="51">
        <f>-(E132+F132)*($F$26="time")*IFERROR(IF($F$27="yes",D40/SUM(D40:$D$51),1/COUNT(D40:$D$51)),0)</f>
        <v>0</v>
      </c>
      <c r="H132" s="51">
        <f>-(E132+F132)*($F$26="policies IF")*IFERROR(IF(C132&lt;$F$8,IF($F$27="yes",H40/SUM(H40:$H$51),F40/SUM(F40:$F$51)),IF($F$27="yes",H63/SUM(H63:$H$74),F63/SUM(F63:$F$74))),0)</f>
        <v>0</v>
      </c>
      <c r="I132" s="51">
        <f>-(E132+F132)*($F$26="risk")*IFERROR(IF(C132&lt;$F$8,IF($F$27="yes",R40/SUM(R40:$R$51),Q40/SUM(Q40:$Q$51)),IF($F$27="yes",R63/SUM(R63:$R$74),Q63/SUM(Q63:$Q$74))),0)</f>
        <v>17809.901507168015</v>
      </c>
      <c r="J132" s="51">
        <f t="shared" ref="J132:J143" si="117">SUM(E132:I132)</f>
        <v>-886656.73690871545</v>
      </c>
      <c r="K132" s="124"/>
      <c r="L132" s="51">
        <f ca="1">IF(C132=1,IF(F27="yes",-AD54-AH54,-W54-AA54),P131)</f>
        <v>6586725.1807208406</v>
      </c>
      <c r="M132" s="51">
        <f>IF(C132=$F$8,AS62,0)</f>
        <v>0</v>
      </c>
      <c r="N132" s="51">
        <f ca="1">IF($F$27="yes",(L132+M132)*((1+$F$17)^(1/4)-1),0)</f>
        <v>32689.466363416108</v>
      </c>
      <c r="O132" s="51">
        <f ca="1">-(L132+M132+N132)*IFERROR(IF(C132&lt;$F$8,IF($F$24="yes",R40/SUM(R40:$R$52),Q40/SUM(Q40:$Q$52)),IF($F$24="yes",R63/SUM(R63:$R$74),Q63/SUM(Q63:$Q$74))),0)</f>
        <v>-130343.25191491292</v>
      </c>
      <c r="P132" s="51">
        <f t="shared" ref="P132:P143" ca="1" si="118">SUM(L132:O132)</f>
        <v>6489071.3951693438</v>
      </c>
      <c r="Q132" s="124"/>
      <c r="R132" s="51">
        <f t="shared" ref="R132:R143" si="119">IF(C132=1,0,Y131)</f>
        <v>0</v>
      </c>
      <c r="S132" s="51">
        <f t="shared" ref="S132:S143" si="120">IF($C109&lt;=$F$8,-W39,-W85)</f>
        <v>750000</v>
      </c>
      <c r="T132" s="51">
        <f>E132</f>
        <v>-900000</v>
      </c>
      <c r="U132" s="51">
        <f t="shared" ref="U132:U143" si="121">IF($F$27="yes",(R132+S132+T132)*((1+$F$17)^(1/4)-1),0)</f>
        <v>-744.43973598057323</v>
      </c>
      <c r="V132" s="51">
        <f>-SUM(G132:I132)</f>
        <v>-17809.901507168015</v>
      </c>
      <c r="W132" s="51">
        <f ca="1">O132</f>
        <v>-130343.25191491292</v>
      </c>
      <c r="X132" s="51">
        <f ca="1">IF($C109&lt;$F$8,-AA40,-AA86)</f>
        <v>0</v>
      </c>
      <c r="Y132" s="51">
        <f t="shared" ref="Y132:Y143" ca="1" si="122">SUM(R132:X132)</f>
        <v>-298897.5931580615</v>
      </c>
      <c r="Z132" s="51">
        <f t="shared" ref="Z132:Z143" ca="1" si="123">ROUND(MAX(Y132,M109+U109),0)</f>
        <v>-298898</v>
      </c>
      <c r="AB132" s="51">
        <f t="shared" ref="AB132:AB143" ca="1" si="124">ROUND(M109+U109+AE109,2)</f>
        <v>1220090.97</v>
      </c>
      <c r="AD132" s="51">
        <f t="shared" ref="AD132:AD143" ca="1" si="125">ABS(Z132-AB132)</f>
        <v>1518988.97</v>
      </c>
      <c r="AE132" s="93">
        <f t="shared" ref="AE132:AE143" ca="1" si="126">IFERROR(AD132/ABS(AB132),0)</f>
        <v>1.2449800935744979</v>
      </c>
      <c r="AG132" s="75"/>
    </row>
    <row r="133" spans="2:33" s="70" customFormat="1" outlineLevel="1" x14ac:dyDescent="0.55000000000000004">
      <c r="B133" s="117" t="s">
        <v>7</v>
      </c>
      <c r="C133" s="118">
        <v>2</v>
      </c>
      <c r="E133" s="51">
        <f t="shared" ref="E133:E143" si="127">IF(C133=1,Z40,J132)</f>
        <v>-886656.73690871545</v>
      </c>
      <c r="F133" s="51">
        <f t="shared" ref="F133:F143" si="128">IF($F$27="yes",E133*((1+$F$17)^(1/4)-1),0)</f>
        <v>-4400.4167141981379</v>
      </c>
      <c r="G133" s="51">
        <f>-(E133+F133)*($F$26="time")*IFERROR(IF($F$27="yes",D41/SUM(D41:$D$51),1/COUNT(D41:$D$51)),0)</f>
        <v>0</v>
      </c>
      <c r="H133" s="51">
        <f>-(E133+F133)*($F$26="policies IF")*IFERROR(IF(C133&lt;$F$8,IF($F$27="yes",H41/SUM(H41:$H$51),F41/SUM(F41:$F$51)),IF($F$27="yes",H64/SUM(H64:$H$74),F64/SUM(F64:$F$74))),0)</f>
        <v>0</v>
      </c>
      <c r="I133" s="51">
        <f>-(E133+F133)*($F$26="risk")*IFERROR(IF(C133&lt;$F$8,IF($F$27="yes",R41/SUM(R41:$R$51),Q41/SUM(Q41:$Q$51)),IF($F$27="yes",R64/SUM(R64:$R$74),Q64/SUM(Q64:$Q$74))),0)</f>
        <v>33687.129815154338</v>
      </c>
      <c r="J133" s="51">
        <f t="shared" si="117"/>
        <v>-857370.02380775928</v>
      </c>
      <c r="K133" s="124"/>
      <c r="L133" s="51">
        <f ca="1">IF(C133=1,IF(F28="yes",-AD55-AH55,-W55-AA55),P132)</f>
        <v>6489071.3951693438</v>
      </c>
      <c r="M133" s="51">
        <f t="shared" ref="M133:M143" si="129">IF(C133=$F$8,AS63,0)</f>
        <v>0</v>
      </c>
      <c r="N133" s="51">
        <f t="shared" ref="N133:N143" ca="1" si="130">IF($F$27="yes",(L133+M133)*((1+$F$17)^(1/4)-1),0)</f>
        <v>32204.817307859706</v>
      </c>
      <c r="O133" s="51">
        <f ca="1">-(L133+M133+N133)*IFERROR(IF(C133&lt;$F$8,IF($F$24="yes",R41/SUM(R41:$R$52),Q41/SUM(Q41:$Q$52)),IF($F$24="yes",R64/SUM(R64:$R$74),Q64/SUM(Q64:$Q$74))),0)</f>
        <v>-246542.07357743208</v>
      </c>
      <c r="P133" s="51">
        <f t="shared" ca="1" si="118"/>
        <v>6274734.1388997715</v>
      </c>
      <c r="Q133" s="124"/>
      <c r="R133" s="51">
        <f t="shared" ca="1" si="119"/>
        <v>-298897.5931580615</v>
      </c>
      <c r="S133" s="51">
        <f t="shared" si="120"/>
        <v>709306.20675238187</v>
      </c>
      <c r="T133" s="51">
        <f t="shared" ref="T133:T143" si="131">-Z40</f>
        <v>0</v>
      </c>
      <c r="U133" s="51">
        <f t="shared" ca="1" si="121"/>
        <v>2036.8298663220596</v>
      </c>
      <c r="V133" s="51">
        <f t="shared" ref="V133:V143" si="132">-SUM(G133:I133)</f>
        <v>-33687.129815154338</v>
      </c>
      <c r="W133" s="51">
        <f t="shared" ref="W133:W143" ca="1" si="133">O133</f>
        <v>-246542.07357743208</v>
      </c>
      <c r="X133" s="51">
        <f t="shared" ref="X133:X143" ca="1" si="134">IF($C110&lt;$F$8,-AA41,-AA87)</f>
        <v>0</v>
      </c>
      <c r="Y133" s="51">
        <f t="shared" ca="1" si="122"/>
        <v>132216.24006805598</v>
      </c>
      <c r="Z133" s="51">
        <f t="shared" ca="1" si="123"/>
        <v>132216</v>
      </c>
      <c r="AB133" s="51">
        <f t="shared" ca="1" si="124"/>
        <v>1442886.16</v>
      </c>
      <c r="AD133" s="51">
        <f t="shared" ca="1" si="125"/>
        <v>1310670.1599999999</v>
      </c>
      <c r="AE133" s="93">
        <f t="shared" ca="1" si="126"/>
        <v>0.90836699133630894</v>
      </c>
      <c r="AG133" s="75"/>
    </row>
    <row r="134" spans="2:33" s="70" customFormat="1" outlineLevel="1" x14ac:dyDescent="0.55000000000000004">
      <c r="B134" s="117" t="s">
        <v>8</v>
      </c>
      <c r="C134" s="118">
        <v>3</v>
      </c>
      <c r="E134" s="51">
        <f t="shared" si="127"/>
        <v>-857370.02380775928</v>
      </c>
      <c r="F134" s="51">
        <f t="shared" si="128"/>
        <v>-4255.0687610740406</v>
      </c>
      <c r="G134" s="51">
        <f>-(E134+F134)*($F$26="time")*IFERROR(IF($F$27="yes",D42/SUM(D42:$D$51),1/COUNT(D42:$D$51)),0)</f>
        <v>0</v>
      </c>
      <c r="H134" s="51">
        <f>-(E134+F134)*($F$26="policies IF")*IFERROR(IF(C134&lt;$F$8,IF($F$27="yes",H42/SUM(H42:$H$51),F42/SUM(F42:$F$51)),IF($F$27="yes",H65/SUM(H65:$H$74),F65/SUM(F65:$F$74))),0)</f>
        <v>0</v>
      </c>
      <c r="I134" s="51">
        <f>-(E134+F134)*($F$26="risk")*IFERROR(IF(C134&lt;$F$8,IF($F$27="yes",R42/SUM(R42:$R$51),Q42/SUM(Q42:$Q$51)),IF($F$27="yes",R65/SUM(R65:$R$74),Q65/SUM(Q65:$Q$74))),0)</f>
        <v>47788.980531124384</v>
      </c>
      <c r="J134" s="51">
        <f t="shared" si="117"/>
        <v>-813836.11203770887</v>
      </c>
      <c r="K134" s="124"/>
      <c r="L134" s="51">
        <f ca="1">IF(C134=1,IF(F30="yes",-AD57-AH57,-W57-AA57),P133)</f>
        <v>6274734.1388997715</v>
      </c>
      <c r="M134" s="51">
        <f t="shared" si="129"/>
        <v>0</v>
      </c>
      <c r="N134" s="51">
        <f t="shared" ca="1" si="130"/>
        <v>31141.07617140557</v>
      </c>
      <c r="O134" s="51">
        <f ca="1">-(L134+M134+N134)*IFERROR(IF(C134&lt;$F$8,IF($F$24="yes",R42/SUM(R42:$R$52),Q42/SUM(Q42:$Q$52)),IF($F$24="yes",R65/SUM(R65:$R$74),Q65/SUM(Q65:$Q$74))),0)</f>
        <v>-349747.64602814999</v>
      </c>
      <c r="P134" s="51">
        <f t="shared" ca="1" si="118"/>
        <v>5956127.5690430272</v>
      </c>
      <c r="Q134" s="124"/>
      <c r="R134" s="51">
        <f t="shared" ca="1" si="119"/>
        <v>132216.24006805598</v>
      </c>
      <c r="S134" s="51">
        <f t="shared" si="120"/>
        <v>670820.39324993687</v>
      </c>
      <c r="T134" s="51">
        <f t="shared" si="131"/>
        <v>0</v>
      </c>
      <c r="U134" s="51">
        <f t="shared" ca="1" si="121"/>
        <v>3985.4158619331661</v>
      </c>
      <c r="V134" s="51">
        <f t="shared" si="132"/>
        <v>-47788.980531124384</v>
      </c>
      <c r="W134" s="51">
        <f t="shared" ca="1" si="133"/>
        <v>-349747.64602814999</v>
      </c>
      <c r="X134" s="51">
        <f t="shared" ca="1" si="134"/>
        <v>0</v>
      </c>
      <c r="Y134" s="51">
        <f t="shared" ca="1" si="122"/>
        <v>409485.42262065155</v>
      </c>
      <c r="Z134" s="51">
        <f t="shared" ca="1" si="123"/>
        <v>409485</v>
      </c>
      <c r="AB134" s="51">
        <f t="shared" ca="1" si="124"/>
        <v>1577395.92</v>
      </c>
      <c r="AD134" s="51">
        <f t="shared" ca="1" si="125"/>
        <v>1167910.92</v>
      </c>
      <c r="AE134" s="93">
        <f t="shared" ca="1" si="126"/>
        <v>0.74040442554206687</v>
      </c>
      <c r="AG134" s="75"/>
    </row>
    <row r="135" spans="2:33" s="70" customFormat="1" outlineLevel="1" x14ac:dyDescent="0.55000000000000004">
      <c r="B135" s="117" t="s">
        <v>9</v>
      </c>
      <c r="C135" s="118">
        <v>4</v>
      </c>
      <c r="E135" s="51">
        <f t="shared" si="127"/>
        <v>-813836.11203770887</v>
      </c>
      <c r="F135" s="51">
        <f t="shared" si="128"/>
        <v>-4039.0129358453878</v>
      </c>
      <c r="G135" s="51">
        <f>-(E135+F135)*($F$26="time")*IFERROR(IF($F$27="yes",D43/SUM(D43:$D$51),1/COUNT(D43:$D$51)),0)</f>
        <v>0</v>
      </c>
      <c r="H135" s="51">
        <f>-(E135+F135)*($F$26="policies IF")*IFERROR(IF(C135&lt;$F$8,IF($F$27="yes",H43/SUM(H43:$H$51),F43/SUM(F43:$F$51)),IF($F$27="yes",H66/SUM(H66:$H$74),F66/SUM(F66:$F$74))),0)</f>
        <v>0</v>
      </c>
      <c r="I135" s="51">
        <f>-(E135+F135)*($F$26="risk")*IFERROR(IF(C135&lt;$F$8,IF($F$27="yes",R43/SUM(R43:$R$51),Q43/SUM(Q43:$Q$51)),IF($F$27="yes",R66/SUM(R66:$R$74),Q66/SUM(Q66:$Q$74))),0)</f>
        <v>60261.369786836018</v>
      </c>
      <c r="J135" s="51">
        <f t="shared" si="117"/>
        <v>-757613.75518671831</v>
      </c>
      <c r="K135" s="124"/>
      <c r="L135" s="51">
        <f ca="1">IF(C135=1,IF(F31="yes",-AD58-AH58,-W58-AA58),P134)</f>
        <v>5956127.5690430272</v>
      </c>
      <c r="M135" s="51">
        <f t="shared" si="129"/>
        <v>0</v>
      </c>
      <c r="N135" s="51">
        <f t="shared" ca="1" si="130"/>
        <v>29559.853566433365</v>
      </c>
      <c r="O135" s="51">
        <f ca="1">-(L135+M135+N135)*IFERROR(IF(C135&lt;$F$8,IF($F$24="yes",R43/SUM(R43:$R$52),Q43/SUM(Q43:$Q$52)),IF($F$24="yes",R66/SUM(R66:$R$74),Q66/SUM(Q66:$Q$74))),0)</f>
        <v>-441027.86866631435</v>
      </c>
      <c r="P135" s="51">
        <f t="shared" ca="1" si="118"/>
        <v>5544659.553943146</v>
      </c>
      <c r="Q135" s="124"/>
      <c r="R135" s="51">
        <f t="shared" ca="1" si="119"/>
        <v>409485.42262065155</v>
      </c>
      <c r="S135" s="51">
        <f t="shared" si="120"/>
        <v>634422.75806433847</v>
      </c>
      <c r="T135" s="51">
        <f t="shared" si="131"/>
        <v>0</v>
      </c>
      <c r="U135" s="51">
        <f t="shared" ca="1" si="121"/>
        <v>5180.8448694472963</v>
      </c>
      <c r="V135" s="51">
        <f t="shared" si="132"/>
        <v>-60261.369786836018</v>
      </c>
      <c r="W135" s="51">
        <f t="shared" ca="1" si="133"/>
        <v>-441027.86866631435</v>
      </c>
      <c r="X135" s="51">
        <f t="shared" ca="1" si="134"/>
        <v>0</v>
      </c>
      <c r="Y135" s="51">
        <f t="shared" ca="1" si="122"/>
        <v>547799.78710128716</v>
      </c>
      <c r="Z135" s="51">
        <f t="shared" ca="1" si="123"/>
        <v>547800</v>
      </c>
      <c r="AB135" s="51">
        <f t="shared" ca="1" si="124"/>
        <v>1631951.87</v>
      </c>
      <c r="AD135" s="51">
        <f t="shared" ca="1" si="125"/>
        <v>1084151.8700000001</v>
      </c>
      <c r="AE135" s="93">
        <f t="shared" ca="1" si="126"/>
        <v>0.66432833585956186</v>
      </c>
      <c r="AG135" s="75"/>
    </row>
    <row r="136" spans="2:33" s="70" customFormat="1" outlineLevel="1" x14ac:dyDescent="0.55000000000000004">
      <c r="B136" s="117" t="s">
        <v>16</v>
      </c>
      <c r="C136" s="118">
        <v>5</v>
      </c>
      <c r="E136" s="51">
        <f t="shared" si="127"/>
        <v>-757613.75518671831</v>
      </c>
      <c r="F136" s="51">
        <f t="shared" si="128"/>
        <v>-3759.9852259096747</v>
      </c>
      <c r="G136" s="51">
        <f>-(E136+F136)*($F$26="time")*IFERROR(IF($F$27="yes",D44/SUM(D44:$D$51),1/COUNT(D44:$D$51)),0)</f>
        <v>0</v>
      </c>
      <c r="H136" s="51">
        <f>-(E136+F136)*($F$26="policies IF")*IFERROR(IF(C136&lt;$F$8,IF($F$27="yes",H44/SUM(H44:$H$51),F44/SUM(F44:$F$51)),IF($F$27="yes",H67/SUM(H67:$H$74),F67/SUM(F67:$F$74))),0)</f>
        <v>0</v>
      </c>
      <c r="I136" s="51">
        <f>-(E136+F136)*($F$26="risk")*IFERROR(IF(C136&lt;$F$8,IF($F$27="yes",R44/SUM(R44:$R$51),Q44/SUM(Q44:$Q$51)),IF($F$27="yes",R67/SUM(R67:$R$74),Q67/SUM(Q67:$Q$74))),0)</f>
        <v>71239.606028672089</v>
      </c>
      <c r="J136" s="51">
        <f t="shared" si="117"/>
        <v>-690134.13438395585</v>
      </c>
      <c r="K136" s="124"/>
      <c r="L136" s="51">
        <f t="shared" ref="L136:L143" ca="1" si="135">IF(C136=1,IF(F34="yes",-AD59-AH59,-W59-AA59),P135)</f>
        <v>5544659.553943146</v>
      </c>
      <c r="M136" s="51">
        <f t="shared" si="129"/>
        <v>0</v>
      </c>
      <c r="N136" s="51">
        <f t="shared" ca="1" si="130"/>
        <v>27517.765962930658</v>
      </c>
      <c r="O136" s="51">
        <f ca="1">-(L136+M136+N136)*IFERROR(IF(C136&lt;$F$8,IF($F$24="yes",R44/SUM(R44:$R$52),Q44/SUM(Q44:$Q$52)),IF($F$24="yes",R67/SUM(R67:$R$74),Q67/SUM(Q67:$Q$74))),0)</f>
        <v>-521373.00765965186</v>
      </c>
      <c r="P136" s="51">
        <f t="shared" ca="1" si="118"/>
        <v>5050804.3122464241</v>
      </c>
      <c r="Q136" s="124"/>
      <c r="R136" s="51">
        <f t="shared" ca="1" si="119"/>
        <v>547799.78710128716</v>
      </c>
      <c r="S136" s="51">
        <f t="shared" si="120"/>
        <v>600000</v>
      </c>
      <c r="T136" s="51">
        <f t="shared" si="131"/>
        <v>0</v>
      </c>
      <c r="U136" s="51">
        <f t="shared" ca="1" si="121"/>
        <v>5696.4518031216021</v>
      </c>
      <c r="V136" s="51">
        <f t="shared" si="132"/>
        <v>-71239.606028672089</v>
      </c>
      <c r="W136" s="51">
        <f t="shared" ca="1" si="133"/>
        <v>-521373.00765965186</v>
      </c>
      <c r="X136" s="51">
        <f t="shared" ca="1" si="134"/>
        <v>0</v>
      </c>
      <c r="Y136" s="51">
        <f t="shared" ca="1" si="122"/>
        <v>560883.625216085</v>
      </c>
      <c r="Z136" s="51">
        <f t="shared" ca="1" si="123"/>
        <v>560884</v>
      </c>
      <c r="AB136" s="51">
        <f t="shared" ca="1" si="124"/>
        <v>1614253.32</v>
      </c>
      <c r="AD136" s="51">
        <f t="shared" ca="1" si="125"/>
        <v>1053369.32</v>
      </c>
      <c r="AE136" s="93">
        <f t="shared" ca="1" si="126"/>
        <v>0.65254276199970895</v>
      </c>
      <c r="AG136" s="75"/>
    </row>
    <row r="137" spans="2:33" s="70" customFormat="1" outlineLevel="1" x14ac:dyDescent="0.55000000000000004">
      <c r="B137" s="117" t="s">
        <v>17</v>
      </c>
      <c r="C137" s="118">
        <v>6</v>
      </c>
      <c r="E137" s="51">
        <f t="shared" si="127"/>
        <v>-690134.13438395585</v>
      </c>
      <c r="F137" s="51">
        <f t="shared" si="128"/>
        <v>-3425.0884852798235</v>
      </c>
      <c r="G137" s="51">
        <f>-(E137+F137)*($F$26="time")*IFERROR(IF($F$27="yes",D45/SUM(D45:$D$51),1/COUNT(D45:$D$51)),0)</f>
        <v>0</v>
      </c>
      <c r="H137" s="51">
        <f>-(E137+F137)*($F$26="policies IF")*IFERROR(IF(C137&lt;$F$8,IF($F$27="yes",H45/SUM(H45:$H$51),F45/SUM(F45:$F$51)),IF($F$27="yes",H68/SUM(H68:$H$74),F68/SUM(F68:$F$74))),0)</f>
        <v>0</v>
      </c>
      <c r="I137" s="51">
        <f>-(E137+F137)*($F$26="risk")*IFERROR(IF(C137&lt;$F$8,IF($F$27="yes",R45/SUM(R45:$R$51),Q45/SUM(Q45:$Q$51)),IF($F$27="yes",R68/SUM(R68:$R$74),Q68/SUM(Q68:$Q$74))),0)</f>
        <v>80849.111556370422</v>
      </c>
      <c r="J137" s="51">
        <f t="shared" si="117"/>
        <v>-612710.11131286528</v>
      </c>
      <c r="K137" s="124"/>
      <c r="L137" s="51">
        <f t="shared" ca="1" si="135"/>
        <v>5050804.3122464241</v>
      </c>
      <c r="M137" s="51">
        <f t="shared" si="129"/>
        <v>0</v>
      </c>
      <c r="N137" s="51">
        <f t="shared" ca="1" si="130"/>
        <v>25066.796191321791</v>
      </c>
      <c r="O137" s="51">
        <f ca="1">-(L137+M137+N137)*IFERROR(IF(C137&lt;$F$8,IF($F$24="yes",R45/SUM(R45:$R$52),Q45/SUM(Q45:$Q$52)),IF($F$24="yes",R68/SUM(R68:$R$74),Q68/SUM(Q68:$Q$74))),0)</f>
        <v>-591700.97658583696</v>
      </c>
      <c r="P137" s="51">
        <f t="shared" ca="1" si="118"/>
        <v>4484170.1318519088</v>
      </c>
      <c r="Q137" s="124"/>
      <c r="R137" s="51">
        <f t="shared" ca="1" si="119"/>
        <v>560883.625216085</v>
      </c>
      <c r="S137" s="51">
        <f t="shared" si="120"/>
        <v>567444.96540190559</v>
      </c>
      <c r="T137" s="51">
        <f t="shared" si="131"/>
        <v>0</v>
      </c>
      <c r="U137" s="51">
        <f t="shared" ca="1" si="121"/>
        <v>5599.8175873265945</v>
      </c>
      <c r="V137" s="51">
        <f t="shared" si="132"/>
        <v>-80849.111556370422</v>
      </c>
      <c r="W137" s="51">
        <f t="shared" ca="1" si="133"/>
        <v>-591700.97658583696</v>
      </c>
      <c r="X137" s="51">
        <f t="shared" ca="1" si="134"/>
        <v>0</v>
      </c>
      <c r="Y137" s="51">
        <f t="shared" ca="1" si="122"/>
        <v>461378.32006310963</v>
      </c>
      <c r="Z137" s="51">
        <f t="shared" ca="1" si="123"/>
        <v>461378</v>
      </c>
      <c r="AB137" s="51">
        <f t="shared" ca="1" si="124"/>
        <v>1531410.69</v>
      </c>
      <c r="AD137" s="51">
        <f t="shared" ca="1" si="125"/>
        <v>1070032.69</v>
      </c>
      <c r="AE137" s="93">
        <f t="shared" ca="1" si="126"/>
        <v>0.69872353444261248</v>
      </c>
      <c r="AG137" s="75"/>
    </row>
    <row r="138" spans="2:33" s="70" customFormat="1" outlineLevel="1" x14ac:dyDescent="0.55000000000000004">
      <c r="B138" s="117" t="s">
        <v>18</v>
      </c>
      <c r="C138" s="118">
        <v>7</v>
      </c>
      <c r="E138" s="51">
        <f t="shared" si="127"/>
        <v>-612710.11131286528</v>
      </c>
      <c r="F138" s="51">
        <f t="shared" si="128"/>
        <v>-3040.8383566558473</v>
      </c>
      <c r="G138" s="51">
        <f>-(E138+F138)*($F$26="time")*IFERROR(IF($F$27="yes",D46/SUM(D46:$D$51),1/COUNT(D46:$D$51)),0)</f>
        <v>0</v>
      </c>
      <c r="H138" s="51">
        <f>-(E138+F138)*($F$26="policies IF")*IFERROR(IF(C138&lt;$F$8,IF($F$27="yes",H46/SUM(H46:$H$51),F46/SUM(F46:$F$51)),IF($F$27="yes",H69/SUM(H69:$H$74),F69/SUM(F69:$F$74))),0)</f>
        <v>0</v>
      </c>
      <c r="I138" s="51">
        <f>-(E138+F138)*($F$26="risk")*IFERROR(IF(C138&lt;$F$8,IF($F$27="yes",R46/SUM(R46:$R$51),Q46/SUM(Q46:$Q$51)),IF($F$27="yes",R69/SUM(R69:$R$74),Q69/SUM(Q69:$Q$74))),0)</f>
        <v>103250.28104651197</v>
      </c>
      <c r="J138" s="51">
        <f t="shared" si="117"/>
        <v>-512500.66862300911</v>
      </c>
      <c r="K138" s="124"/>
      <c r="L138" s="51">
        <f t="shared" ca="1" si="135"/>
        <v>4484170.1318519088</v>
      </c>
      <c r="M138" s="51">
        <f t="shared" ca="1" si="129"/>
        <v>673199.30174573977</v>
      </c>
      <c r="N138" s="51">
        <f t="shared" ca="1" si="130"/>
        <v>25595.671596678079</v>
      </c>
      <c r="O138" s="51">
        <f ca="1">-(L138+M138+N138)*IFERROR(IF(C138&lt;$F$8,IF($F$24="yes",R46/SUM(R46:$R$52),Q46/SUM(Q46:$Q$52)),IF($F$24="yes",R69/SUM(R69:$R$74),Q69/SUM(Q69:$Q$74))),0)</f>
        <v>-869089.36811675958</v>
      </c>
      <c r="P138" s="51">
        <f t="shared" ca="1" si="118"/>
        <v>4313875.7370775668</v>
      </c>
      <c r="Q138" s="124"/>
      <c r="R138" s="51">
        <f t="shared" ca="1" si="119"/>
        <v>461378.32006310963</v>
      </c>
      <c r="S138" s="51">
        <f t="shared" si="120"/>
        <v>536656.31459994952</v>
      </c>
      <c r="T138" s="51">
        <f t="shared" si="131"/>
        <v>0</v>
      </c>
      <c r="U138" s="51">
        <f t="shared" ca="1" si="121"/>
        <v>4953.177599520237</v>
      </c>
      <c r="V138" s="51">
        <f t="shared" si="132"/>
        <v>-103250.28104651197</v>
      </c>
      <c r="W138" s="51">
        <f t="shared" ca="1" si="133"/>
        <v>-869089.36811675958</v>
      </c>
      <c r="X138" s="51">
        <f t="shared" ca="1" si="134"/>
        <v>0</v>
      </c>
      <c r="Y138" s="51">
        <f t="shared" ca="1" si="122"/>
        <v>30648.1630993078</v>
      </c>
      <c r="Z138" s="51">
        <f t="shared" ca="1" si="123"/>
        <v>30648</v>
      </c>
      <c r="AB138" s="51">
        <f t="shared" ca="1" si="124"/>
        <v>1269911.29</v>
      </c>
      <c r="AD138" s="51">
        <f t="shared" ca="1" si="125"/>
        <v>1239263.29</v>
      </c>
      <c r="AE138" s="93">
        <f t="shared" ca="1" si="126"/>
        <v>0.97586603076818068</v>
      </c>
      <c r="AG138" s="75"/>
    </row>
    <row r="139" spans="2:33" s="70" customFormat="1" outlineLevel="1" x14ac:dyDescent="0.55000000000000004">
      <c r="B139" s="117" t="s">
        <v>19</v>
      </c>
      <c r="C139" s="118">
        <v>8</v>
      </c>
      <c r="E139" s="51">
        <f t="shared" si="127"/>
        <v>-512500.66862300911</v>
      </c>
      <c r="F139" s="51">
        <f t="shared" si="128"/>
        <v>-2543.505749597201</v>
      </c>
      <c r="G139" s="51">
        <f>-(E139+F139)*($F$26="time")*IFERROR(IF($F$27="yes",D47/SUM(D47:$D$51),1/COUNT(D47:$D$51)),0)</f>
        <v>0</v>
      </c>
      <c r="H139" s="51">
        <f>-(E139+F139)*($F$26="policies IF")*IFERROR(IF(C139&lt;$F$8,IF($F$27="yes",H47/SUM(H47:$H$51),F47/SUM(F47:$F$51)),IF($F$27="yes",H70/SUM(H70:$H$74),F70/SUM(F70:$F$74))),0)</f>
        <v>0</v>
      </c>
      <c r="I139" s="51">
        <f>-(E139+F139)*($F$26="risk")*IFERROR(IF(C139&lt;$F$8,IF($F$27="yes",R47/SUM(R47:$R$51),Q47/SUM(Q47:$Q$51)),IF($F$27="yes",R70/SUM(R70:$R$74),Q70/SUM(Q70:$Q$74))),0)</f>
        <v>109553.98329122188</v>
      </c>
      <c r="J139" s="51">
        <f t="shared" si="117"/>
        <v>-405490.19108138443</v>
      </c>
      <c r="K139" s="124"/>
      <c r="L139" s="51">
        <f t="shared" ca="1" si="135"/>
        <v>4313875.7370775668</v>
      </c>
      <c r="M139" s="51">
        <f t="shared" si="129"/>
        <v>0</v>
      </c>
      <c r="N139" s="51">
        <f t="shared" ca="1" si="130"/>
        <v>21409.470098420163</v>
      </c>
      <c r="O139" s="51">
        <f ca="1">-(L139+M139+N139)*IFERROR(IF(C139&lt;$F$8,IF($F$24="yes",R47/SUM(R47:$R$52),Q47/SUM(Q47:$Q$52)),IF($F$24="yes",R70/SUM(R70:$R$74),Q70/SUM(Q70:$Q$74))),0)</f>
        <v>-922149.56848738319</v>
      </c>
      <c r="P139" s="51">
        <f t="shared" ca="1" si="118"/>
        <v>3413135.6386886034</v>
      </c>
      <c r="Q139" s="124"/>
      <c r="R139" s="51">
        <f t="shared" ca="1" si="119"/>
        <v>30648.1630993078</v>
      </c>
      <c r="S139" s="51">
        <f t="shared" si="120"/>
        <v>623714.23336880712</v>
      </c>
      <c r="T139" s="51">
        <f t="shared" si="131"/>
        <v>0</v>
      </c>
      <c r="U139" s="51">
        <f t="shared" ca="1" si="121"/>
        <v>3247.5557977489243</v>
      </c>
      <c r="V139" s="51">
        <f t="shared" si="132"/>
        <v>-109553.98329122188</v>
      </c>
      <c r="W139" s="51">
        <f t="shared" ca="1" si="133"/>
        <v>-922149.56848738319</v>
      </c>
      <c r="X139" s="51">
        <f t="shared" ca="1" si="134"/>
        <v>0</v>
      </c>
      <c r="Y139" s="51">
        <f t="shared" ca="1" si="122"/>
        <v>-374093.5995127412</v>
      </c>
      <c r="Z139" s="51">
        <f t="shared" ca="1" si="123"/>
        <v>-374094</v>
      </c>
      <c r="AB139" s="51">
        <f t="shared" ca="1" si="124"/>
        <v>1006592.72</v>
      </c>
      <c r="AD139" s="51">
        <f t="shared" ca="1" si="125"/>
        <v>1380686.72</v>
      </c>
      <c r="AE139" s="93">
        <f t="shared" ca="1" si="126"/>
        <v>1.3716438561169011</v>
      </c>
      <c r="AG139" s="75"/>
    </row>
    <row r="140" spans="2:33" s="70" customFormat="1" outlineLevel="1" x14ac:dyDescent="0.55000000000000004">
      <c r="B140" s="117" t="s">
        <v>20</v>
      </c>
      <c r="C140" s="118">
        <v>9</v>
      </c>
      <c r="E140" s="51">
        <f t="shared" si="127"/>
        <v>-405490.19108138443</v>
      </c>
      <c r="F140" s="51">
        <f t="shared" si="128"/>
        <v>-2012.4200719422533</v>
      </c>
      <c r="G140" s="51">
        <f>-(E140+F140)*($F$26="time")*IFERROR(IF($F$27="yes",D48/SUM(D48:$D$51),1/COUNT(D48:$D$51)),0)</f>
        <v>0</v>
      </c>
      <c r="H140" s="51">
        <f>-(E140+F140)*($F$26="policies IF")*IFERROR(IF(C140&lt;$F$8,IF($F$27="yes",H48/SUM(H48:$H$51),F48/SUM(F48:$F$51)),IF($F$27="yes",H71/SUM(H71:$H$74),F71/SUM(F71:$F$74))),0)</f>
        <v>0</v>
      </c>
      <c r="I140" s="51">
        <f>-(E140+F140)*($F$26="risk")*IFERROR(IF(C140&lt;$F$8,IF($F$27="yes",R48/SUM(R48:$R$51),Q48/SUM(Q48:$Q$51)),IF($F$27="yes",R71/SUM(R71:$R$74),Q71/SUM(Q71:$Q$74))),0)</f>
        <v>106705.99016146451</v>
      </c>
      <c r="J140" s="51">
        <f t="shared" si="117"/>
        <v>-300796.6209918622</v>
      </c>
      <c r="K140" s="124"/>
      <c r="L140" s="51">
        <f t="shared" ca="1" si="135"/>
        <v>3413135.6386886034</v>
      </c>
      <c r="M140" s="51">
        <f t="shared" si="129"/>
        <v>0</v>
      </c>
      <c r="N140" s="51">
        <f t="shared" ca="1" si="130"/>
        <v>16939.158624874861</v>
      </c>
      <c r="O140" s="51">
        <f ca="1">-(L140+M140+N140)*IFERROR(IF(C140&lt;$F$8,IF($F$24="yes",R48/SUM(R48:$R$52),Q48/SUM(Q48:$Q$52)),IF($F$24="yes",R71/SUM(R71:$R$74),Q71/SUM(Q71:$Q$74))),0)</f>
        <v>-898177.13447118213</v>
      </c>
      <c r="P140" s="51">
        <f t="shared" ca="1" si="118"/>
        <v>2531897.6628422961</v>
      </c>
      <c r="Q140" s="124"/>
      <c r="R140" s="51">
        <f t="shared" ca="1" si="119"/>
        <v>-374093.5995127412</v>
      </c>
      <c r="S140" s="51">
        <f t="shared" si="120"/>
        <v>607500</v>
      </c>
      <c r="T140" s="51">
        <f t="shared" si="131"/>
        <v>0</v>
      </c>
      <c r="U140" s="51">
        <f t="shared" ca="1" si="121"/>
        <v>1158.3799943660724</v>
      </c>
      <c r="V140" s="51">
        <f t="shared" si="132"/>
        <v>-106705.99016146451</v>
      </c>
      <c r="W140" s="51">
        <f t="shared" ca="1" si="133"/>
        <v>-898177.13447118213</v>
      </c>
      <c r="X140" s="51">
        <f t="shared" ca="1" si="134"/>
        <v>0</v>
      </c>
      <c r="Y140" s="51">
        <f t="shared" ca="1" si="122"/>
        <v>-770318.3441510218</v>
      </c>
      <c r="Z140" s="51">
        <f t="shared" ca="1" si="123"/>
        <v>-670867</v>
      </c>
      <c r="AB140" s="51">
        <f t="shared" ca="1" si="124"/>
        <v>748066.34</v>
      </c>
      <c r="AD140" s="51">
        <f t="shared" ca="1" si="125"/>
        <v>1418933.3399999999</v>
      </c>
      <c r="AE140" s="93">
        <f t="shared" ca="1" si="126"/>
        <v>1.8968014788634922</v>
      </c>
      <c r="AG140" s="75"/>
    </row>
    <row r="141" spans="2:33" s="70" customFormat="1" outlineLevel="1" x14ac:dyDescent="0.55000000000000004">
      <c r="B141" s="117" t="s">
        <v>21</v>
      </c>
      <c r="C141" s="118">
        <v>10</v>
      </c>
      <c r="E141" s="51">
        <f t="shared" si="127"/>
        <v>-300796.6209918622</v>
      </c>
      <c r="F141" s="51">
        <f t="shared" si="128"/>
        <v>-1492.8330474335364</v>
      </c>
      <c r="G141" s="51">
        <f>-(E141+F141)*($F$26="time")*IFERROR(IF($F$27="yes",D49/SUM(D49:$D$51),1/COUNT(D49:$D$51)),0)</f>
        <v>0</v>
      </c>
      <c r="H141" s="51">
        <f>-(E141+F141)*($F$26="policies IF")*IFERROR(IF(C141&lt;$F$8,IF($F$27="yes",H49/SUM(H49:$H$51),F49/SUM(F49:$F$51)),IF($F$27="yes",H72/SUM(H72:$H$74),F72/SUM(F72:$F$74))),0)</f>
        <v>0</v>
      </c>
      <c r="I141" s="51">
        <f>-(E141+F141)*($F$26="risk")*IFERROR(IF(C141&lt;$F$8,IF($F$27="yes",R49/SUM(R49:$R$51),Q49/SUM(Q49:$Q$51)),IF($F$27="yes",R72/SUM(R72:$R$74),Q72/SUM(Q72:$Q$74))),0)</f>
        <v>103932.03418328727</v>
      </c>
      <c r="J141" s="51">
        <f t="shared" si="117"/>
        <v>-198357.41985600846</v>
      </c>
      <c r="K141" s="124"/>
      <c r="L141" s="51">
        <f t="shared" ca="1" si="135"/>
        <v>2531897.6628422961</v>
      </c>
      <c r="M141" s="51">
        <f t="shared" si="129"/>
        <v>0</v>
      </c>
      <c r="N141" s="51">
        <f t="shared" ca="1" si="130"/>
        <v>12565.634851040995</v>
      </c>
      <c r="O141" s="51">
        <f ca="1">-(L141+M141+N141)*IFERROR(IF(C141&lt;$F$8,IF($F$24="yes",R49/SUM(R49:$R$52),Q49/SUM(Q49:$Q$52)),IF($F$24="yes",R72/SUM(R72:$R$74),Q72/SUM(Q72:$Q$74))),0)</f>
        <v>-874827.89392846869</v>
      </c>
      <c r="P141" s="51">
        <f t="shared" ca="1" si="118"/>
        <v>1669635.4037648682</v>
      </c>
      <c r="Q141" s="124"/>
      <c r="R141" s="51">
        <f t="shared" ca="1" si="119"/>
        <v>-770318.3441510218</v>
      </c>
      <c r="S141" s="51">
        <f t="shared" si="120"/>
        <v>591707.27595336782</v>
      </c>
      <c r="T141" s="51">
        <f t="shared" si="131"/>
        <v>0</v>
      </c>
      <c r="U141" s="51">
        <f t="shared" ca="1" si="121"/>
        <v>-886.43450968179786</v>
      </c>
      <c r="V141" s="51">
        <f t="shared" si="132"/>
        <v>-103932.03418328727</v>
      </c>
      <c r="W141" s="51">
        <f t="shared" ca="1" si="133"/>
        <v>-874827.89392846869</v>
      </c>
      <c r="X141" s="51">
        <f t="shared" ca="1" si="134"/>
        <v>0</v>
      </c>
      <c r="Y141" s="51">
        <f t="shared" ca="1" si="122"/>
        <v>-1158257.4308190919</v>
      </c>
      <c r="Z141" s="51">
        <f t="shared" ca="1" si="123"/>
        <v>-441495</v>
      </c>
      <c r="AB141" s="51">
        <f t="shared" ca="1" si="124"/>
        <v>494206.63</v>
      </c>
      <c r="AD141" s="51">
        <f t="shared" ca="1" si="125"/>
        <v>935701.63</v>
      </c>
      <c r="AE141" s="93">
        <f t="shared" ca="1" si="126"/>
        <v>1.8933409088421174</v>
      </c>
      <c r="AG141" s="75"/>
    </row>
    <row r="142" spans="2:33" s="70" customFormat="1" outlineLevel="1" x14ac:dyDescent="0.55000000000000004">
      <c r="B142" s="117" t="s">
        <v>22</v>
      </c>
      <c r="C142" s="118">
        <v>11</v>
      </c>
      <c r="E142" s="51">
        <f t="shared" si="127"/>
        <v>-198357.41985600846</v>
      </c>
      <c r="F142" s="51">
        <f t="shared" si="128"/>
        <v>-984.434301782631</v>
      </c>
      <c r="G142" s="51">
        <f>-(E142+F142)*($F$26="time")*IFERROR(IF($F$27="yes",D50/SUM(D50:$D$51),1/COUNT(D50:$D$51)),0)</f>
        <v>0</v>
      </c>
      <c r="H142" s="51">
        <f>-(E142+F142)*($F$26="policies IF")*IFERROR(IF(C142&lt;$F$8,IF($F$27="yes",H50/SUM(H50:$H$51),F50/SUM(F50:$F$51)),IF($F$27="yes",H73/SUM(H73:$H$74),F73/SUM(F73:$F$74))),0)</f>
        <v>0</v>
      </c>
      <c r="I142" s="51">
        <f>-(E142+F142)*($F$26="risk")*IFERROR(IF(C142&lt;$F$8,IF($F$27="yes",R50/SUM(R50:$R$51),Q50/SUM(Q50:$Q$51)),IF($F$27="yes",R73/SUM(R73:$R$74),Q73/SUM(Q73:$Q$74))),0)</f>
        <v>101230.1906681238</v>
      </c>
      <c r="J142" s="51">
        <f t="shared" si="117"/>
        <v>-98111.663489667291</v>
      </c>
      <c r="K142" s="124"/>
      <c r="L142" s="51">
        <f t="shared" ca="1" si="135"/>
        <v>1669635.4037648682</v>
      </c>
      <c r="M142" s="51">
        <f t="shared" si="129"/>
        <v>0</v>
      </c>
      <c r="N142" s="51">
        <f t="shared" ca="1" si="130"/>
        <v>8286.2862610835746</v>
      </c>
      <c r="O142" s="51">
        <f ca="1">-(L142+M142+N142)*IFERROR(IF(C142&lt;$F$8,IF($F$24="yes",R50/SUM(R50:$R$52),Q50/SUM(Q50:$Q$52)),IF($F$24="yes",R73/SUM(R73:$R$74),Q73/SUM(Q73:$Q$74))),0)</f>
        <v>-852085.64616368059</v>
      </c>
      <c r="P142" s="51">
        <f t="shared" ca="1" si="118"/>
        <v>825836.04386227112</v>
      </c>
      <c r="Q142" s="124"/>
      <c r="R142" s="51">
        <f t="shared" ca="1" si="119"/>
        <v>-1158257.4308190919</v>
      </c>
      <c r="S142" s="51">
        <f t="shared" si="120"/>
        <v>576325.1035656872</v>
      </c>
      <c r="T142" s="51">
        <f t="shared" si="131"/>
        <v>0</v>
      </c>
      <c r="U142" s="51">
        <f t="shared" ca="1" si="121"/>
        <v>-2888.0903203939006</v>
      </c>
      <c r="V142" s="51">
        <f t="shared" si="132"/>
        <v>-101230.1906681238</v>
      </c>
      <c r="W142" s="51">
        <f t="shared" ca="1" si="133"/>
        <v>-852085.64616368059</v>
      </c>
      <c r="X142" s="51">
        <f t="shared" ca="1" si="134"/>
        <v>0</v>
      </c>
      <c r="Y142" s="51">
        <f t="shared" ca="1" si="122"/>
        <v>-1538136.2544056028</v>
      </c>
      <c r="Z142" s="51">
        <f t="shared" ca="1" si="123"/>
        <v>-217926</v>
      </c>
      <c r="AB142" s="51">
        <f t="shared" ca="1" si="124"/>
        <v>244891.05</v>
      </c>
      <c r="AD142" s="51">
        <f t="shared" ca="1" si="125"/>
        <v>462817.05</v>
      </c>
      <c r="AE142" s="93">
        <f t="shared" ca="1" si="126"/>
        <v>1.8898896060105097</v>
      </c>
      <c r="AG142" s="75"/>
    </row>
    <row r="143" spans="2:33" s="70" customFormat="1" outlineLevel="1" x14ac:dyDescent="0.55000000000000004">
      <c r="B143" s="117" t="s">
        <v>23</v>
      </c>
      <c r="C143" s="118">
        <v>12</v>
      </c>
      <c r="E143" s="51">
        <f t="shared" si="127"/>
        <v>-98111.663489667291</v>
      </c>
      <c r="F143" s="51">
        <f t="shared" si="128"/>
        <v>-486.9214724324184</v>
      </c>
      <c r="G143" s="51">
        <f>-(E143+F143)*($F$26="time")*IFERROR(IF($F$27="yes",D51/SUM(D51:$D$51),1/COUNT(D51:$D$51)),0)</f>
        <v>0</v>
      </c>
      <c r="H143" s="51">
        <f>-(E143+F143)*($F$26="policies IF")*IFERROR(IF(C143&lt;$F$8,IF($F$27="yes",H51/SUM(H51:$H$51),F51/SUM(F51:$F$51)),IF($F$27="yes",H74/SUM(H74:$H$74),F74/SUM(F74:$F$74))),0)</f>
        <v>0</v>
      </c>
      <c r="I143" s="51">
        <f>-(E143+F143)*($F$26="risk")*IFERROR(IF(C143&lt;$F$8,IF($F$27="yes",R51/SUM(R51:$R$51),Q51/SUM(Q51:$Q$51)),IF($F$27="yes",R74/SUM(R74:$R$74),Q74/SUM(Q74:$Q$74))),0)</f>
        <v>98598.584962099703</v>
      </c>
      <c r="J143" s="51">
        <f t="shared" si="117"/>
        <v>0</v>
      </c>
      <c r="K143" s="124"/>
      <c r="L143" s="51">
        <f t="shared" ca="1" si="135"/>
        <v>825836.04386227112</v>
      </c>
      <c r="M143" s="51">
        <f t="shared" si="129"/>
        <v>0</v>
      </c>
      <c r="N143" s="51">
        <f t="shared" ca="1" si="130"/>
        <v>4098.5677763738013</v>
      </c>
      <c r="O143" s="51">
        <f ca="1">-(L143+M143+N143)*IFERROR(IF(C143&lt;$F$8,IF($F$24="yes",R51/SUM(R51:$R$52),Q51/SUM(Q51:$Q$52)),IF($F$24="yes",R74/SUM(R74:$R$74),Q74/SUM(Q74:$Q$74))),0)</f>
        <v>-829934.61163864494</v>
      </c>
      <c r="P143" s="51">
        <f t="shared" ca="1" si="118"/>
        <v>0</v>
      </c>
      <c r="Q143" s="124"/>
      <c r="R143" s="51">
        <f t="shared" ca="1" si="119"/>
        <v>-1538136.2544056028</v>
      </c>
      <c r="S143" s="51">
        <f t="shared" si="120"/>
        <v>561342.81003192649</v>
      </c>
      <c r="T143" s="51">
        <f t="shared" si="131"/>
        <v>0</v>
      </c>
      <c r="U143" s="51">
        <f t="shared" ca="1" si="121"/>
        <v>-4847.759025580629</v>
      </c>
      <c r="V143" s="51">
        <f t="shared" si="132"/>
        <v>-98598.584962099703</v>
      </c>
      <c r="W143" s="51">
        <f t="shared" ca="1" si="133"/>
        <v>-829934.61163864494</v>
      </c>
      <c r="X143" s="51">
        <f t="shared" ca="1" si="134"/>
        <v>0</v>
      </c>
      <c r="Y143" s="51">
        <f t="shared" ca="1" si="122"/>
        <v>-1910174.4000000015</v>
      </c>
      <c r="Z143" s="51">
        <f t="shared" ca="1" si="123"/>
        <v>0</v>
      </c>
      <c r="AB143" s="51">
        <f t="shared" ca="1" si="124"/>
        <v>0</v>
      </c>
      <c r="AD143" s="51">
        <f t="shared" ca="1" si="125"/>
        <v>0</v>
      </c>
      <c r="AE143" s="93">
        <f t="shared" ca="1" si="126"/>
        <v>0</v>
      </c>
      <c r="AG143" s="75"/>
    </row>
    <row r="144" spans="2:33" s="70" customFormat="1" outlineLevel="1" x14ac:dyDescent="0.55000000000000004">
      <c r="B144" s="121"/>
      <c r="C144" s="71"/>
      <c r="E144" s="71"/>
      <c r="F144" s="71"/>
      <c r="G144" s="71"/>
      <c r="H144" s="71"/>
      <c r="I144" s="71"/>
      <c r="J144" s="71"/>
      <c r="L144" s="77"/>
      <c r="M144" s="77"/>
      <c r="N144" s="77"/>
      <c r="O144" s="77"/>
      <c r="P144" s="77"/>
      <c r="Q144" s="55"/>
      <c r="R144" s="67"/>
      <c r="S144" s="67"/>
      <c r="T144" s="67"/>
      <c r="U144" s="67"/>
      <c r="V144" s="67"/>
      <c r="W144" s="67"/>
      <c r="X144" s="67"/>
      <c r="Y144" s="67"/>
      <c r="Z144" s="67"/>
      <c r="AB144" s="122"/>
      <c r="AD144" s="67"/>
      <c r="AE144" s="69"/>
      <c r="AG144" s="75"/>
    </row>
    <row r="145" spans="2:33" s="70" customFormat="1" outlineLevel="1" x14ac:dyDescent="0.55000000000000004">
      <c r="B145" s="51"/>
      <c r="C145" s="51"/>
      <c r="I145" s="51"/>
      <c r="L145" s="51"/>
      <c r="M145" s="51"/>
      <c r="N145" s="51"/>
      <c r="O145" s="51"/>
      <c r="Q145" s="51"/>
      <c r="R145" s="51"/>
      <c r="S145" s="51"/>
      <c r="T145" s="51"/>
      <c r="U145" s="51"/>
      <c r="V145" s="51"/>
      <c r="W145" s="51"/>
      <c r="X145" s="51"/>
      <c r="Y145" s="51"/>
      <c r="Z145" s="51"/>
      <c r="AB145" s="55"/>
      <c r="AD145" s="51"/>
      <c r="AE145" s="55"/>
      <c r="AG145" s="75"/>
    </row>
    <row r="146" spans="2:33" s="70" customFormat="1" outlineLevel="1" x14ac:dyDescent="0.55000000000000004">
      <c r="B146" s="52"/>
      <c r="C146" s="52"/>
      <c r="F146" s="52">
        <f t="shared" ref="F146:O146" si="136">SUM(F132:F143)</f>
        <v>-34907.163538034394</v>
      </c>
      <c r="G146" s="52">
        <f t="shared" si="136"/>
        <v>0</v>
      </c>
      <c r="H146" s="52">
        <f t="shared" si="136"/>
        <v>0</v>
      </c>
      <c r="I146" s="52">
        <f t="shared" si="136"/>
        <v>934907.16353803442</v>
      </c>
      <c r="J146" s="52"/>
      <c r="K146" s="52"/>
      <c r="L146" s="52"/>
      <c r="M146" s="52">
        <f t="shared" ca="1" si="136"/>
        <v>673199.30174573977</v>
      </c>
      <c r="N146" s="52">
        <f t="shared" ca="1" si="136"/>
        <v>267074.56477183872</v>
      </c>
      <c r="O146" s="52">
        <f t="shared" ca="1" si="136"/>
        <v>-7526999.047238416</v>
      </c>
      <c r="P146" s="52"/>
      <c r="Q146" s="52"/>
      <c r="R146" s="52"/>
      <c r="S146" s="52">
        <f t="shared" ref="S146:X146" si="137">SUM(S132:S143)</f>
        <v>7429240.0609883014</v>
      </c>
      <c r="T146" s="52">
        <f t="shared" si="137"/>
        <v>-900000</v>
      </c>
      <c r="U146" s="52">
        <f t="shared" ca="1" si="137"/>
        <v>22491.749788149049</v>
      </c>
      <c r="V146" s="52">
        <f t="shared" si="137"/>
        <v>-934907.16353803442</v>
      </c>
      <c r="W146" s="52">
        <f t="shared" ca="1" si="137"/>
        <v>-7526999.047238416</v>
      </c>
      <c r="X146" s="52">
        <f t="shared" ca="1" si="137"/>
        <v>0</v>
      </c>
      <c r="Y146" s="52"/>
      <c r="Z146" s="52"/>
      <c r="AC146" s="123" t="s">
        <v>152</v>
      </c>
      <c r="AD146" s="52">
        <f ca="1">AVERAGE(AD132:AD143)</f>
        <v>1053543.83</v>
      </c>
      <c r="AE146" s="74">
        <f ca="1">AVERAGE(AE132:AE143)</f>
        <v>1.07807400194633</v>
      </c>
      <c r="AG146" s="75"/>
    </row>
    <row r="147" spans="2:33" s="70" customFormat="1" x14ac:dyDescent="0.55000000000000004">
      <c r="B147" s="51"/>
      <c r="C147" s="51"/>
      <c r="D147" s="51"/>
      <c r="E147" s="51"/>
      <c r="F147" s="51"/>
      <c r="G147" s="51"/>
      <c r="H147" s="51"/>
      <c r="I147" s="51"/>
      <c r="J147" s="51"/>
      <c r="K147" s="51"/>
      <c r="L147" s="51"/>
      <c r="M147" s="52"/>
      <c r="N147" s="52"/>
      <c r="O147" s="52"/>
      <c r="P147" s="52"/>
      <c r="Q147" s="52"/>
      <c r="R147" s="52"/>
      <c r="S147" s="52"/>
      <c r="T147" s="52"/>
      <c r="U147" s="52"/>
      <c r="V147" s="51"/>
      <c r="AG147" s="75"/>
    </row>
    <row r="148" spans="2:33" s="70" customFormat="1" x14ac:dyDescent="0.55000000000000004">
      <c r="B148" s="51"/>
      <c r="C148" s="51"/>
      <c r="D148" s="51"/>
      <c r="E148" s="51"/>
      <c r="F148" s="51"/>
      <c r="G148" s="51"/>
      <c r="H148" s="51"/>
      <c r="I148" s="51"/>
      <c r="J148" s="51"/>
      <c r="K148" s="51"/>
      <c r="L148" s="51"/>
      <c r="M148" s="52"/>
      <c r="N148" s="52"/>
      <c r="O148" s="52"/>
      <c r="P148" s="52"/>
      <c r="Q148" s="52"/>
      <c r="R148" s="52"/>
      <c r="S148" s="52"/>
      <c r="T148" s="52"/>
      <c r="U148" s="52"/>
      <c r="V148" s="51"/>
      <c r="AG148" s="75"/>
    </row>
    <row r="149" spans="2:33" x14ac:dyDescent="0.55000000000000004">
      <c r="D149" s="55"/>
    </row>
    <row r="150" spans="2:33" x14ac:dyDescent="0.55000000000000004">
      <c r="D150" s="51"/>
    </row>
    <row r="151" spans="2:33" x14ac:dyDescent="0.55000000000000004">
      <c r="D151" s="51"/>
    </row>
    <row r="152" spans="2:33" x14ac:dyDescent="0.55000000000000004">
      <c r="D152" s="51"/>
      <c r="E152" s="55"/>
      <c r="F152" s="55"/>
      <c r="G152" s="55"/>
      <c r="H152" s="70"/>
      <c r="I152" s="70"/>
      <c r="J152" s="70"/>
      <c r="K152" s="70"/>
    </row>
  </sheetData>
  <sheetProtection algorithmName="SHA-512" hashValue="yxmEytLXh5JXwV7uSQDZjyNcJTgiaJhcEDO7BBb+7sYgVuJDmjIDmBmJWx7TyzzN3nkb7+Q9JWqwa5x+sMI4tw==" saltValue="hhq+bOJbdodfYzAbeWfpdA==" spinCount="100000" sheet="1" objects="1" scenarios="1"/>
  <protectedRanges>
    <protectedRange sqref="J63:J74 O63:O74 T63:T74" name="Range8"/>
    <protectedRange sqref="F21:F29" name="Range6"/>
    <protectedRange sqref="G14" name="Range4"/>
    <protectedRange sqref="F11:F14" name="Range2"/>
    <protectedRange sqref="F8" name="Range1"/>
    <protectedRange sqref="G11:G12" name="Range3"/>
    <protectedRange sqref="F17:G19" name="Range5"/>
    <protectedRange sqref="J40:J51 O40:O51 T40:T51" name="Range7"/>
  </protectedRanges>
  <mergeCells count="39">
    <mergeCell ref="B36:D36"/>
    <mergeCell ref="F36:H36"/>
    <mergeCell ref="J36:M36"/>
    <mergeCell ref="B105:C105"/>
    <mergeCell ref="F82:H82"/>
    <mergeCell ref="J82:M82"/>
    <mergeCell ref="B82:D82"/>
    <mergeCell ref="E105:M105"/>
    <mergeCell ref="B59:D59"/>
    <mergeCell ref="F59:H59"/>
    <mergeCell ref="J59:M59"/>
    <mergeCell ref="B128:C128"/>
    <mergeCell ref="AN59:AO59"/>
    <mergeCell ref="AN82:AO82"/>
    <mergeCell ref="AD59:AI59"/>
    <mergeCell ref="AD82:AI82"/>
    <mergeCell ref="W59:AB59"/>
    <mergeCell ref="L128:P128"/>
    <mergeCell ref="R128:Z128"/>
    <mergeCell ref="AD128:AE128"/>
    <mergeCell ref="O82:R82"/>
    <mergeCell ref="W82:AB82"/>
    <mergeCell ref="O105:U105"/>
    <mergeCell ref="W105:AE105"/>
    <mergeCell ref="AQ59:AS59"/>
    <mergeCell ref="AQ82:AS82"/>
    <mergeCell ref="E128:J128"/>
    <mergeCell ref="AK36:AL36"/>
    <mergeCell ref="AK59:AL59"/>
    <mergeCell ref="AK82:AL82"/>
    <mergeCell ref="AN36:AO36"/>
    <mergeCell ref="W36:AB36"/>
    <mergeCell ref="AD36:AI36"/>
    <mergeCell ref="O36:R36"/>
    <mergeCell ref="O59:R59"/>
    <mergeCell ref="T36:U36"/>
    <mergeCell ref="T59:U59"/>
    <mergeCell ref="T82:U82"/>
    <mergeCell ref="AG105:AO105"/>
  </mergeCells>
  <dataValidations disablePrompts="1" count="14">
    <dataValidation type="list" allowBlank="1" showInputMessage="1" showErrorMessage="1" sqref="F22" xr:uid="{F0886526-0602-4558-8163-0C9E38BA6CCA}">
      <formula1>"single,annual,semi-ann,quarterly,pattern"</formula1>
    </dataValidation>
    <dataValidation type="decimal" operator="greaterThanOrEqual" allowBlank="1" showInputMessage="1" showErrorMessage="1" error="Expense ratio cannot be negative" sqref="F12:G12" xr:uid="{3441444B-D3CB-46C9-B05B-4A6D64B261FF}">
      <formula1>0</formula1>
    </dataValidation>
    <dataValidation type="decimal" operator="greaterThanOrEqual" allowBlank="1" showInputMessage="1" showErrorMessage="1" error="Acquisition cost ratio cannot be negative" sqref="F13:G13" xr:uid="{104D7211-6FC9-483B-A60A-AFCD980DD360}">
      <formula1>0</formula1>
    </dataValidation>
    <dataValidation type="decimal" operator="greaterThanOrEqual" allowBlank="1" showInputMessage="1" showErrorMessage="1" error="Risk adjustment percentage cannot be negative" sqref="F14:G14" xr:uid="{AD1DC605-6489-46EE-A88D-82AAE240F9DA}">
      <formula1>0</formula1>
    </dataValidation>
    <dataValidation type="decimal" operator="greaterThan" allowBlank="1" showInputMessage="1" showErrorMessage="1" error="Total premiums have to be greater than zero" sqref="F21" xr:uid="{453520C3-30A2-4512-AF07-4C1D2432AEC0}">
      <formula1>0</formula1>
    </dataValidation>
    <dataValidation type="decimal" operator="greaterThanOrEqual" allowBlank="1" showInputMessage="1" showErrorMessage="1" error="Discount rate cannot be negative" sqref="F17:G18" xr:uid="{D6A7CCC9-A61E-4B45-9322-09E28EB9AF53}">
      <formula1>0</formula1>
    </dataValidation>
    <dataValidation type="decimal" operator="greaterThan" allowBlank="1" showInputMessage="1" showErrorMessage="1" error="Risk distribution weights have to be greater than zero" sqref="P63:Q74 P86:Q97 P40:Q51 U40:U54 U63:U77 U86:U97" xr:uid="{0F773037-0828-4024-84C4-5CE9FC4B7896}">
      <formula1>0</formula1>
    </dataValidation>
    <dataValidation type="decimal" operator="greaterThan" allowBlank="1" showInputMessage="1" showErrorMessage="1" error="Coverage units have to be greater than zero" sqref="J63:M74 J86:M97 O63:O74 T86:T97 O86:O97 J40:M51 T40:T54 T63:T77 O40:O51" xr:uid="{CB420328-BE10-4BFB-B0D6-D7470911B094}">
      <formula1>0</formula1>
    </dataValidation>
    <dataValidation type="list" operator="greaterThanOrEqual" allowBlank="1" showInputMessage="1" showErrorMessage="1" error="Discount rate cannot be negative" sqref="F23:F25 F27 F29" xr:uid="{F638DFEC-0BEA-4D39-A0CB-6FB1D706B5EE}">
      <formula1>"yes, no"</formula1>
    </dataValidation>
    <dataValidation type="list" operator="greaterThanOrEqual" allowBlank="1" showInputMessage="1" showErrorMessage="1" error="Discount rate cannot be negative" sqref="F26" xr:uid="{E419EB8F-6DEB-4E05-8558-53151E189006}">
      <formula1>"time, policies IF, risk, immediate"</formula1>
    </dataValidation>
    <dataValidation type="decimal" allowBlank="1" showInputMessage="1" showErrorMessage="1" error="Lapsre ratio should be between 0 and 100%" sqref="F19:G19" xr:uid="{366367E7-EA0A-49CF-B58C-9BFB5213E043}">
      <formula1>0</formula1>
      <formula2>1</formula2>
    </dataValidation>
    <dataValidation type="list" allowBlank="1" showInputMessage="1" showErrorMessage="1" sqref="F8" xr:uid="{F0B09042-9F1A-4933-89EE-50143EA37FF5}">
      <formula1>$C$40:$C$51</formula1>
    </dataValidation>
    <dataValidation type="decimal" operator="greaterThanOrEqual" allowBlank="1" showInputMessage="1" showErrorMessage="1" error="Claims ratio cannot be negative" sqref="F11:G11" xr:uid="{5BACD28C-EAA5-489A-B3DA-6EF60DDBCD9D}">
      <formula1>0</formula1>
    </dataValidation>
    <dataValidation type="list" operator="greaterThanOrEqual" allowBlank="1" showInputMessage="1" showErrorMessage="1" error="Discount rate cannot be negative" sqref="F28" xr:uid="{15544D8C-F13E-48DA-BC6C-3E21894310F8}">
      <formula1>"time, policies IF, risk"</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C8458-0D19-4657-822C-18D73861BB5C}">
  <sheetPr>
    <tabColor theme="4" tint="-0.249977111117893"/>
  </sheetPr>
  <dimension ref="A5:BK173"/>
  <sheetViews>
    <sheetView showGridLines="0" zoomScale="70" zoomScaleNormal="70" workbookViewId="0">
      <pane ySplit="3" topLeftCell="A4" activePane="bottomLeft" state="frozen"/>
      <selection pane="bottomLeft" activeCell="A32" sqref="A32"/>
    </sheetView>
  </sheetViews>
  <sheetFormatPr defaultRowHeight="14.4" outlineLevelRow="1" x14ac:dyDescent="0.55000000000000004"/>
  <cols>
    <col min="1" max="1" width="5.578125" customWidth="1"/>
    <col min="2" max="32" width="12.68359375" customWidth="1"/>
    <col min="33" max="33" width="12.68359375" style="11" customWidth="1"/>
    <col min="34" max="45" width="12.68359375" customWidth="1"/>
    <col min="46" max="67" width="9.15625" customWidth="1"/>
  </cols>
  <sheetData>
    <row r="5" spans="2:63" ht="18.3" x14ac:dyDescent="0.7">
      <c r="B5" s="2"/>
      <c r="C5" s="2"/>
      <c r="D5" s="2"/>
      <c r="E5" s="2"/>
      <c r="F5" s="2"/>
      <c r="G5" s="2"/>
      <c r="H5" s="2"/>
      <c r="I5" s="2"/>
      <c r="J5" s="2"/>
      <c r="K5" s="96"/>
      <c r="L5" s="2"/>
      <c r="M5" s="2"/>
      <c r="N5" s="2"/>
      <c r="O5" s="2"/>
      <c r="P5" s="2"/>
      <c r="Q5" s="2"/>
      <c r="R5" s="2"/>
      <c r="S5" s="2"/>
      <c r="T5" s="2"/>
      <c r="U5" s="2"/>
      <c r="V5" s="2"/>
      <c r="W5" s="2"/>
      <c r="X5" s="2"/>
      <c r="Y5" s="2"/>
      <c r="Z5" s="2"/>
      <c r="AA5" s="128"/>
      <c r="AB5" s="128"/>
      <c r="AC5" s="128"/>
      <c r="AD5" s="128"/>
      <c r="AE5" s="128"/>
      <c r="AF5" s="128"/>
      <c r="AG5" s="128"/>
      <c r="AH5" s="128"/>
      <c r="AI5" s="128"/>
      <c r="AJ5" s="128"/>
      <c r="AK5" s="128"/>
      <c r="AL5" s="128"/>
      <c r="AM5" s="128"/>
      <c r="AN5" s="128"/>
      <c r="AO5" s="2"/>
      <c r="AP5" s="2"/>
      <c r="AQ5" s="2"/>
      <c r="AR5" s="2"/>
      <c r="AS5" s="2"/>
      <c r="AT5" s="2"/>
      <c r="AU5" s="2"/>
      <c r="AV5" s="2"/>
      <c r="AW5" s="2"/>
      <c r="AX5" s="2"/>
      <c r="AY5" s="2"/>
      <c r="AZ5" s="2"/>
      <c r="BA5" s="2"/>
      <c r="BB5" s="2"/>
      <c r="BC5" s="2"/>
      <c r="BD5" s="2"/>
      <c r="BE5" s="2"/>
      <c r="BF5" s="2"/>
      <c r="BG5" s="2"/>
      <c r="BH5" s="2"/>
      <c r="BI5" s="2"/>
      <c r="BJ5" s="2"/>
      <c r="BK5" s="2"/>
    </row>
    <row r="6" spans="2:63" x14ac:dyDescent="0.55000000000000004">
      <c r="B6" s="2"/>
      <c r="C6" s="2"/>
      <c r="D6" s="2"/>
      <c r="E6" s="2"/>
      <c r="F6" s="2"/>
      <c r="G6" s="2"/>
      <c r="H6" s="2"/>
      <c r="I6" s="2"/>
      <c r="J6" s="2"/>
      <c r="K6" s="2"/>
      <c r="L6" s="2"/>
      <c r="M6" s="2"/>
      <c r="N6" s="2"/>
      <c r="O6" s="2"/>
      <c r="P6" s="2"/>
      <c r="Q6" s="2"/>
      <c r="R6" s="2"/>
      <c r="S6" s="2"/>
      <c r="T6" s="2"/>
      <c r="U6" s="2"/>
      <c r="V6" s="2"/>
      <c r="W6" s="2"/>
      <c r="X6" s="2"/>
      <c r="Y6" s="2"/>
      <c r="Z6" s="2"/>
      <c r="AA6" s="128"/>
      <c r="AB6" s="128"/>
      <c r="AC6" s="128"/>
      <c r="AD6" s="128"/>
      <c r="AE6" s="128"/>
      <c r="AF6" s="128"/>
      <c r="AG6" s="128"/>
      <c r="AH6" s="128"/>
      <c r="AI6" s="128"/>
      <c r="AJ6" s="128"/>
      <c r="AK6" s="128"/>
      <c r="AL6" s="128"/>
      <c r="AM6" s="128"/>
      <c r="AN6" s="128"/>
      <c r="AO6" s="2"/>
      <c r="AP6" s="2"/>
      <c r="AQ6" s="2"/>
      <c r="AR6" s="2"/>
      <c r="AS6" s="2"/>
      <c r="AT6" s="2"/>
      <c r="AU6" s="2"/>
      <c r="AV6" s="2"/>
      <c r="AW6" s="2"/>
      <c r="AX6" s="2"/>
      <c r="AY6" s="2"/>
      <c r="AZ6" s="2"/>
      <c r="BA6" s="2"/>
      <c r="BB6" s="2"/>
      <c r="BC6" s="2"/>
      <c r="BD6" s="2"/>
      <c r="BE6" s="2"/>
      <c r="BF6" s="2"/>
      <c r="BG6" s="2"/>
      <c r="BH6" s="2"/>
      <c r="BI6" s="2"/>
      <c r="BJ6" s="2"/>
      <c r="BK6" s="2"/>
    </row>
    <row r="7" spans="2:63" x14ac:dyDescent="0.55000000000000004">
      <c r="B7" s="141" t="s">
        <v>160</v>
      </c>
      <c r="C7" s="2"/>
      <c r="D7" s="2"/>
      <c r="E7" s="2"/>
      <c r="F7" s="107">
        <v>4</v>
      </c>
      <c r="G7" s="107"/>
      <c r="H7" s="2"/>
      <c r="I7" s="2"/>
      <c r="J7" s="2"/>
      <c r="K7" s="2"/>
      <c r="L7" s="2"/>
      <c r="M7" s="2"/>
      <c r="N7" s="2"/>
      <c r="O7" s="2"/>
      <c r="P7" s="2"/>
      <c r="Q7" s="2"/>
      <c r="R7" s="2"/>
      <c r="S7" s="2"/>
      <c r="T7" s="2"/>
      <c r="U7" s="2"/>
      <c r="V7" s="2"/>
      <c r="W7" s="2"/>
      <c r="X7" s="2"/>
      <c r="Y7" s="2"/>
      <c r="Z7" s="2"/>
      <c r="AA7" s="128"/>
      <c r="AB7" s="128"/>
      <c r="AC7" s="128"/>
      <c r="AD7" s="128"/>
      <c r="AE7" s="128"/>
      <c r="AF7" s="128"/>
      <c r="AG7" s="128"/>
      <c r="AH7" s="128"/>
      <c r="AI7" s="128"/>
      <c r="AJ7" s="128"/>
      <c r="AK7" s="128"/>
      <c r="AL7" s="128"/>
      <c r="AM7" s="128"/>
      <c r="AN7" s="128"/>
      <c r="AO7" s="2"/>
      <c r="AP7" s="2"/>
      <c r="AQ7" s="2"/>
      <c r="AR7" s="2"/>
      <c r="AS7" s="2"/>
      <c r="AT7" s="2"/>
      <c r="AU7" s="2"/>
      <c r="AV7" s="2"/>
      <c r="AW7" s="2"/>
      <c r="AX7" s="2"/>
      <c r="AY7" s="2"/>
      <c r="AZ7" s="2"/>
      <c r="BA7" s="2"/>
      <c r="BB7" s="2"/>
      <c r="BC7" s="2"/>
      <c r="BD7" s="2"/>
      <c r="BE7" s="2"/>
      <c r="BF7" s="2"/>
      <c r="BG7" s="2"/>
      <c r="BH7" s="2"/>
      <c r="BI7" s="2"/>
      <c r="BJ7" s="2"/>
      <c r="BK7" s="2"/>
    </row>
    <row r="8" spans="2:63" x14ac:dyDescent="0.55000000000000004">
      <c r="B8" s="141" t="s">
        <v>168</v>
      </c>
      <c r="C8" s="2"/>
      <c r="D8" s="2"/>
      <c r="E8" s="2"/>
      <c r="F8" s="132">
        <v>7</v>
      </c>
      <c r="G8" s="107"/>
      <c r="H8" s="2"/>
      <c r="I8" s="2"/>
      <c r="J8" s="2"/>
      <c r="K8" s="2"/>
      <c r="L8" s="2"/>
      <c r="M8" s="2"/>
      <c r="N8" s="2"/>
      <c r="O8" s="2"/>
      <c r="P8" s="2"/>
      <c r="Q8" s="2"/>
      <c r="R8" s="2"/>
      <c r="S8" s="2"/>
      <c r="T8" s="2"/>
      <c r="U8" s="2"/>
      <c r="V8" s="2"/>
      <c r="W8" s="2"/>
      <c r="X8" s="2"/>
      <c r="Y8" s="2"/>
      <c r="Z8" s="2"/>
      <c r="AA8" s="128"/>
      <c r="AB8" s="128"/>
      <c r="AC8" s="128"/>
      <c r="AD8" s="128"/>
      <c r="AE8" s="128"/>
      <c r="AF8" s="128"/>
      <c r="AG8" s="128"/>
      <c r="AH8" s="128"/>
      <c r="AI8" s="128"/>
      <c r="AJ8" s="128"/>
      <c r="AK8" s="128"/>
      <c r="AL8" s="128"/>
      <c r="AM8" s="128"/>
      <c r="AN8" s="128"/>
      <c r="AO8" s="2"/>
      <c r="AP8" s="2"/>
      <c r="AQ8" s="2"/>
      <c r="AR8" s="2"/>
      <c r="AS8" s="2"/>
      <c r="AT8" s="2"/>
      <c r="AU8" s="2"/>
      <c r="AV8" s="2"/>
      <c r="AW8" s="2"/>
      <c r="AX8" s="2"/>
      <c r="AY8" s="2"/>
      <c r="AZ8" s="2"/>
      <c r="BA8" s="2"/>
      <c r="BB8" s="2"/>
      <c r="BC8" s="2"/>
      <c r="BD8" s="2"/>
      <c r="BE8" s="2"/>
      <c r="BF8" s="2"/>
      <c r="BG8" s="2"/>
      <c r="BH8" s="2"/>
      <c r="BI8" s="2"/>
      <c r="BJ8" s="2"/>
      <c r="BK8" s="2"/>
    </row>
    <row r="9" spans="2:63" x14ac:dyDescent="0.55000000000000004">
      <c r="B9" s="142"/>
      <c r="C9" s="2"/>
      <c r="D9" s="2"/>
      <c r="E9" s="2"/>
      <c r="F9" s="2"/>
      <c r="G9" s="2"/>
      <c r="H9" s="2"/>
      <c r="I9" s="2"/>
      <c r="J9" s="2"/>
      <c r="K9" s="2"/>
      <c r="L9" s="2"/>
      <c r="M9" s="2"/>
      <c r="N9" s="2"/>
      <c r="O9" s="2"/>
      <c r="P9" s="2"/>
      <c r="Q9" s="2"/>
      <c r="R9" s="2"/>
      <c r="S9" s="2"/>
      <c r="T9" s="2"/>
      <c r="U9" s="2"/>
      <c r="V9" s="2"/>
      <c r="W9" s="2"/>
      <c r="X9" s="2"/>
      <c r="Y9" s="2"/>
      <c r="Z9" s="2"/>
      <c r="AA9" s="128"/>
      <c r="AB9" s="128"/>
      <c r="AC9" s="128"/>
      <c r="AD9" s="128"/>
      <c r="AE9" s="128"/>
      <c r="AF9" s="128"/>
      <c r="AG9" s="128"/>
      <c r="AH9" s="128"/>
      <c r="AI9" s="128"/>
      <c r="AJ9" s="128"/>
      <c r="AK9" s="128"/>
      <c r="AL9" s="128"/>
      <c r="AM9" s="128"/>
      <c r="AN9" s="128"/>
      <c r="AO9" s="2"/>
      <c r="AP9" s="2"/>
      <c r="AQ9" s="2"/>
      <c r="AR9" s="2"/>
      <c r="AS9" s="2"/>
      <c r="AT9" s="2"/>
      <c r="AU9" s="2"/>
      <c r="AV9" s="2"/>
      <c r="AW9" s="2"/>
      <c r="AX9" s="2"/>
      <c r="AY9" s="2"/>
      <c r="AZ9" s="2"/>
      <c r="BA9" s="2"/>
      <c r="BB9" s="2"/>
      <c r="BC9" s="2"/>
      <c r="BD9" s="2"/>
      <c r="BE9" s="2"/>
      <c r="BF9" s="2"/>
      <c r="BG9" s="2"/>
      <c r="BH9" s="2"/>
      <c r="BI9" s="2"/>
      <c r="BJ9" s="2"/>
      <c r="BK9" s="2"/>
    </row>
    <row r="10" spans="2:63" ht="14.5" customHeight="1" x14ac:dyDescent="0.55000000000000004">
      <c r="B10" s="142"/>
      <c r="C10" s="2"/>
      <c r="D10" s="2"/>
      <c r="E10" s="2"/>
      <c r="F10" s="140" t="s">
        <v>161</v>
      </c>
      <c r="G10" s="140" t="s">
        <v>162</v>
      </c>
      <c r="I10" s="2"/>
      <c r="J10" s="2"/>
      <c r="K10" s="2"/>
      <c r="L10" s="2"/>
      <c r="M10" s="2"/>
      <c r="N10" s="2"/>
      <c r="O10" s="2"/>
      <c r="P10" s="2"/>
      <c r="Q10" s="2"/>
      <c r="R10" s="2"/>
      <c r="S10" s="2"/>
      <c r="T10" s="2"/>
      <c r="U10" s="2"/>
      <c r="V10" s="2"/>
      <c r="W10" s="2"/>
      <c r="X10" s="2"/>
      <c r="Y10" s="2"/>
      <c r="Z10" s="2"/>
      <c r="AA10" s="128"/>
      <c r="AB10" s="128"/>
      <c r="AC10" s="128"/>
      <c r="AD10" s="128"/>
      <c r="AE10" s="128"/>
      <c r="AF10" s="128"/>
      <c r="AG10" s="128"/>
      <c r="AH10" s="128"/>
      <c r="AI10" s="128"/>
      <c r="AJ10" s="128"/>
      <c r="AK10" s="128"/>
      <c r="AL10" s="128"/>
      <c r="AM10" s="128"/>
      <c r="AN10" s="128"/>
      <c r="AO10" s="2"/>
      <c r="AP10" s="2"/>
      <c r="AQ10" s="2"/>
      <c r="AR10" s="2"/>
      <c r="AS10" s="2"/>
      <c r="AT10" s="2"/>
      <c r="AU10" s="2"/>
      <c r="AV10" s="2"/>
      <c r="AW10" s="2"/>
      <c r="AX10" s="2"/>
      <c r="AY10" s="2"/>
      <c r="AZ10" s="2"/>
      <c r="BA10" s="2"/>
      <c r="BB10" s="2"/>
      <c r="BC10" s="2"/>
      <c r="BD10" s="2"/>
      <c r="BE10" s="2"/>
      <c r="BF10" s="2"/>
      <c r="BG10" s="2"/>
      <c r="BH10" s="2"/>
      <c r="BI10" s="2"/>
      <c r="BJ10" s="2"/>
      <c r="BK10" s="2"/>
    </row>
    <row r="11" spans="2:63" x14ac:dyDescent="0.55000000000000004">
      <c r="B11" s="141" t="s">
        <v>134</v>
      </c>
      <c r="C11" s="2"/>
      <c r="D11" s="2"/>
      <c r="E11" s="2"/>
      <c r="F11" s="133">
        <v>0.6</v>
      </c>
      <c r="G11" s="133">
        <v>0.5</v>
      </c>
      <c r="N11" s="2"/>
      <c r="O11" s="2"/>
      <c r="P11" s="2"/>
      <c r="Q11" s="2"/>
      <c r="S11" s="2"/>
      <c r="T11" s="2"/>
      <c r="U11" s="2"/>
      <c r="V11" s="2"/>
      <c r="W11" s="2"/>
      <c r="X11" s="2"/>
      <c r="Y11" s="2"/>
      <c r="Z11" s="2"/>
      <c r="AA11" s="128"/>
      <c r="AB11" s="128"/>
      <c r="AC11" s="128"/>
      <c r="AD11" s="128"/>
      <c r="AE11" s="128"/>
      <c r="AF11" s="128"/>
      <c r="AG11" s="128"/>
      <c r="AH11" s="128"/>
      <c r="AI11" s="128"/>
      <c r="AJ11" s="128"/>
      <c r="AK11" s="128"/>
      <c r="AL11" s="128"/>
      <c r="AM11" s="128"/>
      <c r="AN11" s="128"/>
      <c r="AO11" s="2"/>
      <c r="AP11" s="2"/>
      <c r="AQ11" s="2"/>
      <c r="AR11" s="2"/>
      <c r="AS11" s="2"/>
      <c r="AT11" s="2"/>
      <c r="AU11" s="2"/>
      <c r="AV11" s="2"/>
      <c r="AW11" s="2"/>
      <c r="AX11" s="2"/>
      <c r="AY11" s="2"/>
      <c r="AZ11" s="2"/>
      <c r="BA11" s="2"/>
      <c r="BB11" s="2"/>
      <c r="BC11" s="2"/>
      <c r="BD11" s="2"/>
      <c r="BE11" s="2"/>
      <c r="BF11" s="2"/>
      <c r="BG11" s="2"/>
      <c r="BH11" s="2"/>
      <c r="BI11" s="2"/>
      <c r="BJ11" s="2"/>
      <c r="BK11" s="2"/>
    </row>
    <row r="12" spans="2:63" x14ac:dyDescent="0.55000000000000004">
      <c r="B12" s="141" t="s">
        <v>165</v>
      </c>
      <c r="C12" s="2"/>
      <c r="D12" s="2"/>
      <c r="E12" s="2"/>
      <c r="F12" s="133">
        <v>0.15</v>
      </c>
      <c r="G12" s="133">
        <v>0.1</v>
      </c>
      <c r="N12" s="2"/>
      <c r="O12" s="2"/>
      <c r="P12" s="2"/>
      <c r="Q12" s="2"/>
      <c r="S12" s="2"/>
      <c r="T12" s="2"/>
      <c r="U12" s="2"/>
      <c r="V12" s="2"/>
      <c r="W12" s="2"/>
      <c r="X12" s="2"/>
      <c r="Y12" s="2"/>
      <c r="Z12" s="2"/>
      <c r="AA12" s="128"/>
      <c r="AB12" s="128"/>
      <c r="AC12" s="128"/>
      <c r="AD12" s="128"/>
      <c r="AE12" s="128"/>
      <c r="AF12" s="128"/>
      <c r="AG12" s="128"/>
      <c r="AH12" s="128"/>
      <c r="AI12" s="128"/>
      <c r="AJ12" s="128"/>
      <c r="AK12" s="128"/>
      <c r="AL12" s="128"/>
      <c r="AM12" s="128"/>
      <c r="AN12" s="128"/>
      <c r="AO12" s="2"/>
      <c r="AP12" s="2"/>
      <c r="AQ12" s="2"/>
      <c r="AR12" s="2"/>
      <c r="AS12" s="2"/>
      <c r="AT12" s="2"/>
      <c r="AU12" s="2"/>
      <c r="AV12" s="2"/>
      <c r="AW12" s="2"/>
      <c r="AX12" s="2"/>
      <c r="AY12" s="2"/>
      <c r="AZ12" s="2"/>
      <c r="BA12" s="2"/>
      <c r="BB12" s="2"/>
      <c r="BC12" s="2"/>
      <c r="BD12" s="2"/>
      <c r="BE12" s="2"/>
      <c r="BF12" s="2"/>
      <c r="BG12" s="2"/>
      <c r="BH12" s="2"/>
      <c r="BI12" s="2"/>
      <c r="BJ12" s="2"/>
      <c r="BK12" s="2"/>
    </row>
    <row r="13" spans="2:63" x14ac:dyDescent="0.55000000000000004">
      <c r="B13" s="141" t="s">
        <v>170</v>
      </c>
      <c r="C13" s="2"/>
      <c r="D13" s="2"/>
      <c r="E13" s="2"/>
      <c r="F13" s="133">
        <v>0.1</v>
      </c>
      <c r="G13" s="111">
        <f>F13</f>
        <v>0.1</v>
      </c>
      <c r="N13" s="2"/>
      <c r="O13" s="2"/>
      <c r="P13" s="2"/>
      <c r="Q13" s="2"/>
      <c r="S13" s="2"/>
      <c r="T13" s="2"/>
      <c r="U13" s="2"/>
      <c r="V13" s="2"/>
      <c r="W13" s="2"/>
      <c r="X13" s="2"/>
      <c r="Y13" s="2"/>
      <c r="Z13" s="2"/>
      <c r="AA13" s="128"/>
      <c r="AB13" s="128"/>
      <c r="AC13" s="128"/>
      <c r="AD13" s="128"/>
      <c r="AE13" s="128"/>
      <c r="AF13" s="128"/>
      <c r="AG13" s="128"/>
      <c r="AH13" s="128"/>
      <c r="AI13" s="128"/>
      <c r="AJ13" s="128"/>
      <c r="AK13" s="128"/>
      <c r="AL13" s="128"/>
      <c r="AM13" s="128"/>
      <c r="AN13" s="128"/>
      <c r="AO13" s="2"/>
      <c r="AP13" s="2"/>
      <c r="AQ13" s="2"/>
      <c r="AR13" s="2"/>
      <c r="AS13" s="2"/>
      <c r="AT13" s="2"/>
      <c r="AU13" s="2"/>
      <c r="AV13" s="2"/>
      <c r="AW13" s="2"/>
      <c r="AX13" s="2"/>
      <c r="AY13" s="2"/>
      <c r="AZ13" s="2"/>
      <c r="BA13" s="2"/>
      <c r="BB13" s="2"/>
      <c r="BC13" s="2"/>
      <c r="BD13" s="2"/>
      <c r="BE13" s="2"/>
      <c r="BF13" s="2"/>
      <c r="BG13" s="2"/>
      <c r="BH13" s="2"/>
      <c r="BI13" s="2"/>
      <c r="BJ13" s="2"/>
      <c r="BK13" s="2"/>
    </row>
    <row r="14" spans="2:63" x14ac:dyDescent="0.55000000000000004">
      <c r="B14" s="141" t="s">
        <v>395</v>
      </c>
      <c r="C14" s="2"/>
      <c r="D14" s="2"/>
      <c r="E14" s="2"/>
      <c r="F14" s="133">
        <v>0.05</v>
      </c>
      <c r="G14" s="133">
        <v>0.03</v>
      </c>
      <c r="N14" s="2"/>
      <c r="O14" s="2"/>
      <c r="P14" s="2"/>
      <c r="Q14" s="2"/>
      <c r="S14" s="2"/>
      <c r="T14" s="2"/>
      <c r="U14" s="2"/>
      <c r="V14" s="2"/>
      <c r="W14" s="2"/>
      <c r="X14" s="2"/>
      <c r="Y14" s="2"/>
      <c r="Z14" s="2"/>
      <c r="AA14" s="128"/>
      <c r="AB14" s="128"/>
      <c r="AC14" s="128"/>
      <c r="AD14" s="128"/>
      <c r="AE14" s="128"/>
      <c r="AF14" s="128"/>
      <c r="AG14" s="128"/>
      <c r="AH14" s="128"/>
      <c r="AI14" s="128"/>
      <c r="AJ14" s="128"/>
      <c r="AK14" s="128"/>
      <c r="AL14" s="128"/>
      <c r="AM14" s="128"/>
      <c r="AN14" s="128"/>
      <c r="AO14" s="2"/>
      <c r="AP14" s="2"/>
      <c r="AQ14" s="2"/>
      <c r="AR14" s="2"/>
      <c r="AS14" s="2"/>
      <c r="AT14" s="2"/>
      <c r="AU14" s="2"/>
      <c r="AV14" s="2"/>
      <c r="AW14" s="2"/>
      <c r="AX14" s="2"/>
      <c r="AY14" s="2"/>
      <c r="AZ14" s="2"/>
      <c r="BA14" s="2"/>
      <c r="BB14" s="2"/>
      <c r="BC14" s="2"/>
      <c r="BD14" s="2"/>
      <c r="BE14" s="2"/>
      <c r="BF14" s="2"/>
      <c r="BG14" s="2"/>
      <c r="BH14" s="2"/>
      <c r="BI14" s="2"/>
      <c r="BJ14" s="2"/>
      <c r="BK14" s="2"/>
    </row>
    <row r="15" spans="2:63" x14ac:dyDescent="0.55000000000000004">
      <c r="B15" s="141" t="s">
        <v>166</v>
      </c>
      <c r="C15" s="2"/>
      <c r="D15" s="2"/>
      <c r="E15" s="2"/>
      <c r="F15" s="130">
        <f>(F11+F12)*(1+F14)+F13</f>
        <v>0.88750000000000007</v>
      </c>
      <c r="G15" s="130">
        <f>(G11+G12)*(1+G14)+G13</f>
        <v>0.71799999999999997</v>
      </c>
      <c r="N15" s="2"/>
      <c r="O15" s="2"/>
      <c r="P15" s="2"/>
      <c r="Q15" s="2"/>
      <c r="S15" s="2"/>
      <c r="T15" s="2"/>
      <c r="U15" s="2"/>
      <c r="V15" s="2"/>
      <c r="W15" s="2"/>
      <c r="X15" s="2"/>
      <c r="Y15" s="2"/>
      <c r="Z15" s="2"/>
      <c r="AA15" s="128"/>
      <c r="AB15" s="128"/>
      <c r="AC15" s="128"/>
      <c r="AD15" s="128"/>
      <c r="AE15" s="128"/>
      <c r="AF15" s="128"/>
      <c r="AG15" s="128"/>
      <c r="AH15" s="128"/>
      <c r="AI15" s="128"/>
      <c r="AJ15" s="128"/>
      <c r="AK15" s="128"/>
      <c r="AL15" s="128"/>
      <c r="AM15" s="128"/>
      <c r="AN15" s="128"/>
      <c r="AO15" s="2"/>
      <c r="AP15" s="2"/>
      <c r="AQ15" s="2"/>
      <c r="AR15" s="2"/>
      <c r="AS15" s="2"/>
      <c r="AT15" s="2"/>
      <c r="AU15" s="2"/>
      <c r="AV15" s="2"/>
      <c r="AW15" s="2"/>
      <c r="AY15" s="2"/>
      <c r="AZ15" s="2"/>
      <c r="BA15" s="2"/>
      <c r="BB15" s="2"/>
      <c r="BC15" s="2"/>
      <c r="BD15" s="2"/>
      <c r="BE15" s="2"/>
      <c r="BF15" s="2"/>
      <c r="BG15" s="2"/>
      <c r="BH15" s="2"/>
      <c r="BI15" s="2"/>
      <c r="BJ15" s="2"/>
      <c r="BK15" s="2"/>
    </row>
    <row r="16" spans="2:63" x14ac:dyDescent="0.55000000000000004">
      <c r="B16" s="141"/>
      <c r="C16" s="2"/>
      <c r="D16" s="2"/>
      <c r="E16" s="2"/>
      <c r="F16" s="97"/>
      <c r="G16" s="97"/>
      <c r="N16" s="2"/>
      <c r="O16" s="2"/>
      <c r="P16" s="2"/>
      <c r="Q16" s="2"/>
      <c r="S16" s="2"/>
      <c r="T16" s="2"/>
      <c r="U16" s="2"/>
      <c r="V16" s="2"/>
      <c r="W16" s="2"/>
      <c r="X16" s="2"/>
      <c r="Y16" s="2"/>
      <c r="Z16" s="2"/>
      <c r="AA16" s="128"/>
      <c r="AB16" s="128"/>
      <c r="AC16" s="128"/>
      <c r="AD16" s="128"/>
      <c r="AE16" s="128"/>
      <c r="AF16" s="128"/>
      <c r="AG16" s="128"/>
      <c r="AH16" s="128"/>
      <c r="AI16" s="128"/>
      <c r="AJ16" s="128"/>
      <c r="AK16" s="128"/>
      <c r="AL16" s="128"/>
      <c r="AM16" s="128"/>
      <c r="AN16" s="128"/>
      <c r="AO16" s="2"/>
      <c r="AP16" s="2"/>
      <c r="AQ16" s="2"/>
      <c r="AR16" s="2"/>
      <c r="AS16" s="2"/>
      <c r="AT16" s="2"/>
      <c r="AU16" s="2"/>
      <c r="AV16" s="2"/>
      <c r="AW16" s="2"/>
      <c r="AY16" s="2"/>
      <c r="AZ16" s="2"/>
      <c r="BA16" s="2"/>
      <c r="BB16" s="2"/>
      <c r="BC16" s="2"/>
      <c r="BD16" s="2"/>
      <c r="BE16" s="2"/>
      <c r="BF16" s="2"/>
      <c r="BG16" s="2"/>
      <c r="BH16" s="2"/>
      <c r="BI16" s="2"/>
      <c r="BJ16" s="2"/>
      <c r="BK16" s="2"/>
    </row>
    <row r="17" spans="2:63" x14ac:dyDescent="0.55000000000000004">
      <c r="B17" s="141" t="s">
        <v>156</v>
      </c>
      <c r="C17" s="2"/>
      <c r="D17" s="2"/>
      <c r="E17" s="2"/>
      <c r="F17" s="133">
        <v>0.02</v>
      </c>
      <c r="G17" s="133">
        <v>0.01</v>
      </c>
      <c r="N17" s="2"/>
      <c r="O17" s="2"/>
      <c r="P17" s="2"/>
      <c r="Q17" s="2"/>
      <c r="S17" s="2"/>
      <c r="T17" s="2"/>
      <c r="U17" s="2"/>
      <c r="V17" s="2"/>
      <c r="W17" s="2"/>
      <c r="X17" s="2"/>
      <c r="Y17" s="2"/>
      <c r="Z17" s="2"/>
      <c r="AA17" s="128"/>
      <c r="AB17" s="128"/>
      <c r="AC17" s="128"/>
      <c r="AD17" s="128"/>
      <c r="AE17" s="128"/>
      <c r="AF17" s="128"/>
      <c r="AG17" s="128"/>
      <c r="AH17" s="128"/>
      <c r="AI17" s="128"/>
      <c r="AJ17" s="128"/>
      <c r="AK17" s="128"/>
      <c r="AL17" s="128"/>
      <c r="AM17" s="128"/>
      <c r="AN17" s="128"/>
      <c r="AO17" s="2"/>
      <c r="AP17" s="2"/>
      <c r="AQ17" s="2"/>
      <c r="AR17" s="2"/>
      <c r="AS17" s="2"/>
      <c r="AT17" s="2"/>
      <c r="AU17" s="2"/>
      <c r="AV17" s="2"/>
      <c r="AW17" s="2"/>
      <c r="AY17" s="2"/>
      <c r="AZ17" s="2"/>
      <c r="BA17" s="2"/>
      <c r="BB17" s="2"/>
      <c r="BC17" s="2"/>
      <c r="BD17" s="2"/>
      <c r="BE17" s="2"/>
      <c r="BF17" s="2"/>
      <c r="BG17" s="2"/>
      <c r="BH17" s="2"/>
      <c r="BI17" s="2"/>
      <c r="BJ17" s="2"/>
      <c r="BK17" s="2"/>
    </row>
    <row r="18" spans="2:63" x14ac:dyDescent="0.55000000000000004">
      <c r="B18" s="141" t="s">
        <v>137</v>
      </c>
      <c r="F18" s="133">
        <v>0.01</v>
      </c>
      <c r="G18" s="133">
        <v>5.0000000000000001E-3</v>
      </c>
      <c r="N18" s="2"/>
      <c r="O18" s="2"/>
      <c r="P18" s="2"/>
      <c r="Q18" s="2"/>
      <c r="S18" s="2"/>
      <c r="T18" s="2"/>
      <c r="U18" s="2"/>
      <c r="V18" s="2"/>
      <c r="W18" s="2"/>
      <c r="X18" s="2"/>
      <c r="Y18" s="2"/>
      <c r="Z18" s="2"/>
      <c r="AA18" s="128"/>
      <c r="AB18" s="128"/>
      <c r="AC18" s="128"/>
      <c r="AD18" s="128"/>
      <c r="AE18" s="128"/>
      <c r="AF18" s="128"/>
      <c r="AG18" s="128"/>
      <c r="AH18" s="128"/>
      <c r="AI18" s="128"/>
      <c r="AJ18" s="128"/>
      <c r="AK18" s="128"/>
      <c r="AL18" s="128"/>
      <c r="AM18" s="128"/>
      <c r="AN18" s="128"/>
      <c r="AO18" s="2"/>
      <c r="AP18" s="2"/>
      <c r="AQ18" s="2"/>
      <c r="AR18" s="2"/>
      <c r="AS18" s="2"/>
      <c r="AT18" s="2"/>
      <c r="AU18" s="2"/>
      <c r="AV18" s="2"/>
      <c r="AW18" s="2"/>
      <c r="AY18" s="2"/>
      <c r="AZ18" s="2"/>
      <c r="BA18" s="2"/>
      <c r="BB18" s="2"/>
      <c r="BC18" s="2"/>
      <c r="BD18" s="2"/>
      <c r="BE18" s="2"/>
      <c r="BF18" s="2"/>
      <c r="BG18" s="2"/>
      <c r="BH18" s="2"/>
      <c r="BI18" s="2"/>
      <c r="BJ18" s="2"/>
      <c r="BK18" s="2"/>
    </row>
    <row r="19" spans="2:63" x14ac:dyDescent="0.55000000000000004">
      <c r="B19" s="141" t="s">
        <v>118</v>
      </c>
      <c r="C19" s="2"/>
      <c r="D19" s="2"/>
      <c r="E19" s="2"/>
      <c r="F19" s="133">
        <v>0.2</v>
      </c>
      <c r="G19" s="133">
        <v>0.1</v>
      </c>
      <c r="N19" s="2"/>
      <c r="O19" s="2"/>
      <c r="P19" s="2"/>
      <c r="Q19" s="2"/>
      <c r="S19" s="2"/>
      <c r="T19" s="2"/>
      <c r="U19" s="2"/>
      <c r="V19" s="2"/>
      <c r="W19" s="2"/>
      <c r="X19" s="2"/>
      <c r="Y19" s="2"/>
      <c r="Z19" s="2"/>
      <c r="AA19" s="128"/>
      <c r="AB19" s="128"/>
      <c r="AC19" s="128"/>
      <c r="AD19" s="128"/>
      <c r="AE19" s="128"/>
      <c r="AF19" s="128"/>
      <c r="AG19" s="128"/>
      <c r="AH19" s="128"/>
      <c r="AI19" s="128"/>
      <c r="AJ19" s="128"/>
      <c r="AK19" s="128"/>
      <c r="AL19" s="128"/>
      <c r="AM19" s="128"/>
      <c r="AN19" s="128"/>
      <c r="AO19" s="2"/>
      <c r="AP19" s="2"/>
      <c r="AQ19" s="2"/>
      <c r="AR19" s="2"/>
      <c r="AS19" s="2"/>
      <c r="AT19" s="2"/>
      <c r="AU19" s="2"/>
      <c r="AV19" s="2"/>
      <c r="AW19" s="2"/>
      <c r="AY19" s="2"/>
      <c r="AZ19" s="2"/>
      <c r="BA19" s="2"/>
      <c r="BB19" s="2"/>
      <c r="BC19" s="2"/>
      <c r="BD19" s="2"/>
      <c r="BE19" s="2"/>
      <c r="BF19" s="2"/>
      <c r="BG19" s="2"/>
      <c r="BH19" s="2"/>
      <c r="BI19" s="2"/>
      <c r="BJ19" s="2"/>
      <c r="BK19" s="2"/>
    </row>
    <row r="20" spans="2:63" x14ac:dyDescent="0.55000000000000004">
      <c r="B20" s="141"/>
      <c r="C20" s="2"/>
      <c r="D20" s="2"/>
      <c r="E20" s="2"/>
      <c r="F20" s="97"/>
      <c r="G20" s="97"/>
      <c r="H20" s="97"/>
      <c r="N20" s="2"/>
      <c r="O20" s="2"/>
      <c r="P20" s="2"/>
      <c r="Q20" s="2"/>
      <c r="S20" s="2"/>
      <c r="T20" s="2"/>
      <c r="U20" s="2"/>
      <c r="V20" s="2"/>
      <c r="W20" s="2"/>
      <c r="X20" s="2"/>
      <c r="Y20" s="2"/>
      <c r="Z20" s="2"/>
      <c r="AA20" s="128"/>
      <c r="AB20" s="128"/>
      <c r="AC20" s="128"/>
      <c r="AD20" s="128"/>
      <c r="AE20" s="128"/>
      <c r="AF20" s="128"/>
      <c r="AG20" s="128"/>
      <c r="AH20" s="128"/>
      <c r="AI20" s="128"/>
      <c r="AJ20" s="128"/>
      <c r="AK20" s="128"/>
      <c r="AL20" s="128"/>
      <c r="AM20" s="128"/>
      <c r="AN20" s="128"/>
      <c r="AO20" s="2"/>
      <c r="AP20" s="2"/>
      <c r="AQ20" s="2"/>
      <c r="AR20" s="2"/>
      <c r="AS20" s="2"/>
      <c r="AT20" s="2"/>
      <c r="AU20" s="2"/>
      <c r="AV20" s="2"/>
      <c r="AW20" s="2"/>
      <c r="AY20" s="2"/>
      <c r="AZ20" s="2"/>
      <c r="BA20" s="2"/>
      <c r="BB20" s="2"/>
      <c r="BC20" s="2"/>
      <c r="BD20" s="2"/>
      <c r="BE20" s="2"/>
      <c r="BF20" s="2"/>
      <c r="BG20" s="2"/>
      <c r="BH20" s="2"/>
      <c r="BI20" s="2"/>
      <c r="BJ20" s="2"/>
      <c r="BK20" s="2"/>
    </row>
    <row r="21" spans="2:63" x14ac:dyDescent="0.55000000000000004">
      <c r="B21" s="141" t="s">
        <v>434</v>
      </c>
      <c r="C21" s="2"/>
      <c r="D21" s="2"/>
      <c r="E21" s="2"/>
      <c r="F21" s="132">
        <v>9000000</v>
      </c>
      <c r="H21" s="97"/>
      <c r="N21" s="2"/>
      <c r="O21" s="2"/>
      <c r="P21" s="2"/>
      <c r="Q21" s="2"/>
      <c r="S21" s="2"/>
      <c r="T21" s="2"/>
      <c r="U21" s="2"/>
      <c r="V21" s="2"/>
      <c r="W21" s="2"/>
      <c r="X21" s="2"/>
      <c r="Y21" s="2"/>
      <c r="Z21" s="2"/>
      <c r="AA21" s="128"/>
      <c r="AB21" s="128"/>
      <c r="AC21" s="128"/>
      <c r="AD21" s="128"/>
      <c r="AE21" s="128"/>
      <c r="AF21" s="128"/>
      <c r="AG21" s="128"/>
      <c r="AH21" s="128"/>
      <c r="AI21" s="128"/>
      <c r="AJ21" s="128"/>
      <c r="AK21" s="128"/>
      <c r="AL21" s="128"/>
      <c r="AM21" s="128"/>
      <c r="AN21" s="128"/>
      <c r="AO21" s="2"/>
      <c r="AP21" s="2"/>
      <c r="AQ21" s="2"/>
      <c r="AR21" s="2"/>
      <c r="AS21" s="2"/>
      <c r="AT21" s="2"/>
      <c r="AU21" s="2"/>
      <c r="AV21" s="2"/>
      <c r="AW21" s="2"/>
      <c r="AX21" s="2"/>
      <c r="AY21" s="2"/>
      <c r="AZ21" s="2"/>
      <c r="BA21" s="2"/>
      <c r="BB21" s="2"/>
      <c r="BC21" s="2"/>
      <c r="BD21" s="2"/>
      <c r="BE21" s="2"/>
      <c r="BF21" s="2"/>
      <c r="BG21" s="2"/>
      <c r="BH21" s="2"/>
      <c r="BI21" s="2"/>
      <c r="BJ21" s="2"/>
      <c r="BK21" s="2"/>
    </row>
    <row r="22" spans="2:63" x14ac:dyDescent="0.55000000000000004">
      <c r="B22" s="141" t="s">
        <v>435</v>
      </c>
      <c r="C22" s="2"/>
      <c r="D22" s="2"/>
      <c r="E22" s="2"/>
      <c r="F22" s="132" t="s">
        <v>401</v>
      </c>
      <c r="H22" s="97"/>
      <c r="N22" s="2"/>
      <c r="O22" s="2"/>
      <c r="P22" s="2"/>
      <c r="Q22" s="2"/>
      <c r="S22" s="2"/>
      <c r="T22" s="2"/>
      <c r="U22" s="2"/>
      <c r="V22" s="2"/>
      <c r="W22" s="2"/>
      <c r="X22" s="2"/>
      <c r="Y22" s="2"/>
      <c r="Z22" s="2"/>
      <c r="AA22" s="128"/>
      <c r="AB22" s="128"/>
      <c r="AC22" s="128"/>
      <c r="AD22" s="128"/>
      <c r="AE22" s="128"/>
      <c r="AF22" s="128"/>
      <c r="AG22" s="128"/>
      <c r="AH22" s="128"/>
      <c r="AI22" s="128"/>
      <c r="AJ22" s="128"/>
      <c r="AK22" s="128"/>
      <c r="AL22" s="128"/>
      <c r="AM22" s="128"/>
      <c r="AN22" s="128"/>
      <c r="AO22" s="2"/>
      <c r="AP22" s="2"/>
      <c r="AQ22" s="2"/>
      <c r="AR22" s="2"/>
      <c r="AS22" s="2"/>
      <c r="AT22" s="2"/>
      <c r="AU22" s="2"/>
      <c r="AV22" s="2"/>
      <c r="AW22" s="2"/>
      <c r="AX22" s="2"/>
      <c r="AY22" s="2"/>
      <c r="AZ22" s="2"/>
      <c r="BA22" s="2"/>
      <c r="BB22" s="2"/>
      <c r="BC22" s="2"/>
      <c r="BD22" s="2"/>
      <c r="BE22" s="2"/>
      <c r="BF22" s="2"/>
      <c r="BG22" s="2"/>
      <c r="BH22" s="2"/>
      <c r="BI22" s="2"/>
      <c r="BJ22" s="2"/>
      <c r="BK22" s="2"/>
    </row>
    <row r="23" spans="2:63" x14ac:dyDescent="0.55000000000000004">
      <c r="B23" s="141" t="s">
        <v>169</v>
      </c>
      <c r="C23" s="2"/>
      <c r="D23" s="2"/>
      <c r="E23" s="2"/>
      <c r="F23" s="131" t="s">
        <v>120</v>
      </c>
      <c r="N23" s="2"/>
      <c r="O23" s="2"/>
      <c r="P23" s="2"/>
      <c r="Q23" s="2"/>
      <c r="S23" s="2"/>
      <c r="T23" s="2"/>
      <c r="U23" s="2"/>
      <c r="V23" s="2"/>
      <c r="W23" s="2"/>
      <c r="X23" s="2"/>
      <c r="Y23" s="2"/>
      <c r="Z23" s="2"/>
      <c r="AA23" s="128"/>
      <c r="AB23" s="128"/>
      <c r="AC23" s="128"/>
      <c r="AD23" s="128"/>
      <c r="AE23" s="128"/>
      <c r="AF23" s="128"/>
      <c r="AG23" s="128"/>
      <c r="AH23" s="128"/>
      <c r="AI23" s="128"/>
      <c r="AJ23" s="128"/>
      <c r="AK23" s="128"/>
      <c r="AL23" s="128"/>
      <c r="AM23" s="128"/>
      <c r="AN23" s="128"/>
      <c r="AO23" s="2"/>
      <c r="AP23" s="2"/>
      <c r="AQ23" s="2"/>
      <c r="AR23" s="2"/>
      <c r="AS23" s="2"/>
      <c r="AT23" s="2"/>
      <c r="AU23" s="2"/>
      <c r="AV23" s="2"/>
      <c r="AW23" s="2"/>
      <c r="AX23" s="2"/>
      <c r="AY23" s="2"/>
      <c r="AZ23" s="2"/>
      <c r="BA23" s="2"/>
      <c r="BB23" s="2"/>
      <c r="BC23" s="2"/>
      <c r="BD23" s="2"/>
      <c r="BE23" s="2"/>
      <c r="BF23" s="2"/>
      <c r="BG23" s="2"/>
      <c r="BH23" s="2"/>
      <c r="BI23" s="2"/>
      <c r="BJ23" s="2"/>
      <c r="BK23" s="2"/>
    </row>
    <row r="24" spans="2:63" x14ac:dyDescent="0.55000000000000004">
      <c r="B24" s="141" t="s">
        <v>167</v>
      </c>
      <c r="F24" s="131" t="s">
        <v>120</v>
      </c>
      <c r="N24" s="2"/>
      <c r="O24" s="2"/>
      <c r="P24" s="2"/>
      <c r="Q24" s="2"/>
      <c r="S24" s="2"/>
      <c r="T24" s="2"/>
      <c r="U24" s="2"/>
      <c r="V24" s="2"/>
      <c r="W24" s="2"/>
      <c r="X24" s="2"/>
      <c r="Y24" s="2"/>
      <c r="Z24" s="2"/>
      <c r="AA24" s="128"/>
      <c r="AB24" s="128"/>
      <c r="AC24" s="128"/>
      <c r="AD24" s="128"/>
      <c r="AE24" s="128"/>
      <c r="AF24" s="128"/>
      <c r="AG24" s="128"/>
      <c r="AH24" s="128"/>
      <c r="AI24" s="128"/>
      <c r="AJ24" s="128"/>
      <c r="AK24" s="128"/>
      <c r="AL24" s="128"/>
      <c r="AM24" s="128"/>
      <c r="AN24" s="128"/>
      <c r="AO24" s="2"/>
      <c r="AP24" s="2"/>
      <c r="AQ24" s="2"/>
      <c r="AR24" s="2"/>
      <c r="AS24" s="2"/>
      <c r="AT24" s="2"/>
      <c r="AU24" s="2"/>
      <c r="AV24" s="2"/>
      <c r="AW24" s="2"/>
      <c r="AX24" s="2"/>
      <c r="AY24" s="2"/>
      <c r="AZ24" s="2"/>
      <c r="BA24" s="2"/>
      <c r="BB24" s="2"/>
      <c r="BC24" s="2"/>
      <c r="BD24" s="2"/>
      <c r="BE24" s="2"/>
      <c r="BF24" s="2"/>
      <c r="BG24" s="2"/>
      <c r="BH24" s="2"/>
      <c r="BI24" s="2"/>
      <c r="BJ24" s="2"/>
      <c r="BK24" s="2"/>
    </row>
    <row r="25" spans="2:63" x14ac:dyDescent="0.55000000000000004">
      <c r="B25" s="141" t="s">
        <v>119</v>
      </c>
      <c r="C25" s="2"/>
      <c r="D25" s="2"/>
      <c r="E25" s="2"/>
      <c r="F25" s="131" t="s">
        <v>120</v>
      </c>
      <c r="N25" s="2"/>
      <c r="O25" s="2"/>
      <c r="P25" s="2"/>
      <c r="Q25" s="2"/>
      <c r="S25" s="2"/>
      <c r="T25" s="2"/>
      <c r="U25" s="2"/>
      <c r="V25" s="2"/>
      <c r="W25" s="2"/>
      <c r="X25" s="2"/>
      <c r="Y25" s="2"/>
      <c r="Z25" s="2"/>
      <c r="AA25" s="128"/>
      <c r="AB25" s="128"/>
      <c r="AC25" s="128"/>
      <c r="AD25" s="128"/>
      <c r="AE25" s="128"/>
      <c r="AF25" s="128"/>
      <c r="AG25" s="128"/>
      <c r="AH25" s="128"/>
      <c r="AI25" s="128"/>
      <c r="AJ25" s="128"/>
      <c r="AK25" s="128"/>
      <c r="AL25" s="128"/>
      <c r="AM25" s="128"/>
      <c r="AN25" s="128"/>
      <c r="AO25" s="2"/>
      <c r="AP25" s="2"/>
      <c r="AQ25" s="2"/>
      <c r="AR25" s="2"/>
      <c r="AS25" s="2"/>
      <c r="AT25" s="2"/>
      <c r="AU25" s="2"/>
      <c r="AV25" s="2"/>
      <c r="AW25" s="2"/>
      <c r="AX25" s="2"/>
      <c r="AY25" s="2"/>
      <c r="AZ25" s="2"/>
      <c r="BA25" s="2"/>
      <c r="BB25" s="2"/>
      <c r="BC25" s="2"/>
      <c r="BD25" s="2"/>
      <c r="BE25" s="2"/>
      <c r="BF25" s="2"/>
      <c r="BG25" s="2"/>
      <c r="BH25" s="2"/>
      <c r="BI25" s="2"/>
      <c r="BJ25" s="2"/>
      <c r="BK25" s="2"/>
    </row>
    <row r="26" spans="2:63" x14ac:dyDescent="0.55000000000000004">
      <c r="B26" s="141" t="s">
        <v>453</v>
      </c>
      <c r="C26" s="2"/>
      <c r="D26" s="2"/>
      <c r="E26" s="2"/>
      <c r="F26" s="131" t="s">
        <v>124</v>
      </c>
      <c r="H26" s="106"/>
      <c r="N26" s="2"/>
      <c r="O26" s="2"/>
      <c r="P26" s="2"/>
      <c r="Q26" s="2"/>
      <c r="S26" s="2"/>
      <c r="T26" s="2"/>
      <c r="U26" s="2"/>
      <c r="V26" s="2"/>
      <c r="W26" s="2"/>
      <c r="X26" s="2"/>
      <c r="Y26" s="2"/>
      <c r="Z26" s="2"/>
      <c r="AA26" s="128"/>
      <c r="AB26" s="128"/>
      <c r="AC26" s="128"/>
      <c r="AD26" s="128"/>
      <c r="AE26" s="128"/>
      <c r="AF26" s="128"/>
      <c r="AG26" s="128"/>
      <c r="AH26" s="128"/>
      <c r="AI26" s="128"/>
      <c r="AJ26" s="128"/>
      <c r="AK26" s="128"/>
      <c r="AL26" s="128"/>
      <c r="AM26" s="128"/>
      <c r="AN26" s="128"/>
      <c r="AO26" s="2"/>
      <c r="AP26" s="2"/>
      <c r="AQ26" s="2"/>
      <c r="AR26" s="2"/>
      <c r="AS26" s="2"/>
      <c r="AT26" s="2"/>
      <c r="AU26" s="2"/>
      <c r="AV26" s="2"/>
      <c r="AW26" s="2"/>
      <c r="AX26" s="2"/>
      <c r="AY26" s="2"/>
      <c r="AZ26" s="2"/>
      <c r="BA26" s="2"/>
      <c r="BB26" s="2"/>
      <c r="BC26" s="2"/>
      <c r="BD26" s="2"/>
      <c r="BE26" s="2"/>
      <c r="BF26" s="2"/>
      <c r="BG26" s="2"/>
      <c r="BH26" s="2"/>
      <c r="BI26" s="2"/>
      <c r="BJ26" s="2"/>
      <c r="BK26" s="2"/>
    </row>
    <row r="27" spans="2:63" x14ac:dyDescent="0.55000000000000004">
      <c r="B27" s="141" t="s">
        <v>133</v>
      </c>
      <c r="C27" s="2"/>
      <c r="D27" s="2"/>
      <c r="E27" s="2"/>
      <c r="F27" s="131" t="s">
        <v>393</v>
      </c>
      <c r="H27" s="106"/>
      <c r="N27" s="2"/>
      <c r="O27" s="2"/>
      <c r="P27" s="2"/>
      <c r="Q27" s="2"/>
      <c r="S27" s="2"/>
      <c r="T27" s="2"/>
      <c r="U27" s="2"/>
      <c r="V27" s="2"/>
      <c r="W27" s="2"/>
      <c r="X27" s="2"/>
      <c r="Y27" s="2"/>
      <c r="Z27" s="2"/>
      <c r="AA27" s="128"/>
      <c r="AB27" s="128"/>
      <c r="AC27" s="128"/>
      <c r="AD27" s="128"/>
      <c r="AE27" s="128"/>
      <c r="AF27" s="128"/>
      <c r="AG27" s="128"/>
      <c r="AH27" s="128"/>
      <c r="AI27" s="128"/>
      <c r="AJ27" s="128"/>
      <c r="AK27" s="128"/>
      <c r="AL27" s="128"/>
      <c r="AM27" s="128"/>
      <c r="AN27" s="128"/>
      <c r="AO27" s="2"/>
      <c r="AP27" s="2"/>
      <c r="AQ27" s="2"/>
      <c r="AR27" s="2"/>
      <c r="AS27" s="2"/>
      <c r="AT27" s="2"/>
      <c r="AU27" s="2"/>
      <c r="AV27" s="2"/>
      <c r="AW27" s="2"/>
      <c r="AX27" s="2"/>
      <c r="AY27" s="2"/>
      <c r="AZ27" s="2"/>
      <c r="BA27" s="2"/>
      <c r="BB27" s="2"/>
      <c r="BC27" s="2"/>
      <c r="BD27" s="2"/>
      <c r="BE27" s="2"/>
      <c r="BF27" s="2"/>
      <c r="BG27" s="2"/>
      <c r="BH27" s="2"/>
      <c r="BI27" s="2"/>
      <c r="BJ27" s="2"/>
      <c r="BK27" s="2"/>
    </row>
    <row r="28" spans="2:63" x14ac:dyDescent="0.55000000000000004">
      <c r="B28" s="141" t="s">
        <v>135</v>
      </c>
      <c r="C28" s="2"/>
      <c r="D28" s="2"/>
      <c r="E28" s="2"/>
      <c r="F28" s="131" t="s">
        <v>124</v>
      </c>
      <c r="H28" s="106"/>
      <c r="N28" s="2"/>
      <c r="O28" s="2"/>
      <c r="P28" s="2"/>
      <c r="Q28" s="2"/>
      <c r="S28" s="2"/>
      <c r="T28" s="2"/>
      <c r="U28" s="2"/>
      <c r="V28" s="2"/>
      <c r="W28" s="2"/>
      <c r="X28" s="2"/>
      <c r="Y28" s="2"/>
      <c r="Z28" s="2"/>
      <c r="AA28" s="128"/>
      <c r="AB28" s="128"/>
      <c r="AC28" s="128"/>
      <c r="AD28" s="128"/>
      <c r="AE28" s="128"/>
      <c r="AF28" s="128"/>
      <c r="AG28" s="128"/>
      <c r="AH28" s="128"/>
      <c r="AI28" s="128"/>
      <c r="AJ28" s="128"/>
      <c r="AK28" s="128"/>
      <c r="AL28" s="128"/>
      <c r="AM28" s="128"/>
      <c r="AN28" s="128"/>
      <c r="AO28" s="2"/>
      <c r="AP28" s="2"/>
      <c r="AQ28" s="2"/>
      <c r="AR28" s="2"/>
      <c r="AS28" s="2"/>
      <c r="AT28" s="2"/>
      <c r="AU28" s="2"/>
      <c r="AV28" s="2"/>
      <c r="AW28" s="2"/>
      <c r="AX28" s="2"/>
      <c r="AY28" s="2"/>
      <c r="AZ28" s="2"/>
      <c r="BA28" s="2"/>
      <c r="BB28" s="2"/>
      <c r="BC28" s="2"/>
      <c r="BD28" s="2"/>
      <c r="BE28" s="2"/>
      <c r="BF28" s="2"/>
      <c r="BG28" s="2"/>
      <c r="BH28" s="2"/>
      <c r="BI28" s="2"/>
      <c r="BJ28" s="2"/>
      <c r="BK28" s="2"/>
    </row>
    <row r="29" spans="2:63" x14ac:dyDescent="0.55000000000000004">
      <c r="B29" s="141" t="s">
        <v>408</v>
      </c>
      <c r="C29" s="2"/>
      <c r="D29" s="2"/>
      <c r="E29" s="2"/>
      <c r="F29" s="131" t="s">
        <v>120</v>
      </c>
      <c r="H29" s="106"/>
      <c r="N29" s="2"/>
      <c r="O29" s="2"/>
      <c r="P29" s="2"/>
      <c r="Q29" s="2"/>
      <c r="S29" s="2"/>
      <c r="T29" s="2"/>
      <c r="U29" s="2"/>
      <c r="V29" s="2"/>
      <c r="W29" s="2"/>
      <c r="X29" s="2"/>
      <c r="Y29" s="2"/>
      <c r="Z29" s="2"/>
      <c r="AA29" s="128"/>
      <c r="AB29" s="128"/>
      <c r="AC29" s="128"/>
      <c r="AD29" s="128"/>
      <c r="AE29" s="128"/>
      <c r="AF29" s="128"/>
      <c r="AG29" s="128"/>
      <c r="AH29" s="128"/>
      <c r="AI29" s="128"/>
      <c r="AJ29" s="128"/>
      <c r="AK29" s="128"/>
      <c r="AL29" s="128"/>
      <c r="AM29" s="128"/>
      <c r="AN29" s="128"/>
      <c r="AO29" s="2"/>
      <c r="AP29" s="2"/>
      <c r="AQ29" s="2"/>
      <c r="AR29" s="2"/>
      <c r="AS29" s="2"/>
      <c r="AT29" s="2"/>
      <c r="AU29" s="2"/>
      <c r="AV29" s="2"/>
      <c r="AW29" s="2"/>
      <c r="AX29" s="2"/>
      <c r="AY29" s="2"/>
      <c r="AZ29" s="2"/>
      <c r="BA29" s="2"/>
      <c r="BB29" s="2"/>
      <c r="BC29" s="2"/>
      <c r="BD29" s="2"/>
      <c r="BE29" s="2"/>
      <c r="BF29" s="2"/>
      <c r="BG29" s="2"/>
      <c r="BH29" s="2"/>
      <c r="BI29" s="2"/>
      <c r="BJ29" s="2"/>
      <c r="BK29" s="2"/>
    </row>
    <row r="30" spans="2:63" x14ac:dyDescent="0.55000000000000004">
      <c r="H30" s="106"/>
      <c r="J30" s="2"/>
      <c r="K30" s="2"/>
      <c r="N30" s="2"/>
      <c r="O30" s="2"/>
      <c r="P30" s="2"/>
      <c r="Q30" s="2"/>
      <c r="S30" s="2"/>
      <c r="T30" s="2"/>
      <c r="U30" s="2"/>
      <c r="V30" s="2"/>
      <c r="W30" s="2"/>
      <c r="X30" s="2"/>
      <c r="Y30" s="2"/>
      <c r="Z30" s="2"/>
      <c r="AA30" s="22"/>
      <c r="AB30" s="2"/>
      <c r="AC30" s="2"/>
      <c r="AD30" s="2"/>
      <c r="AE30" s="2"/>
      <c r="AF30" s="2"/>
      <c r="AG30" s="21"/>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row>
    <row r="31" spans="2:63" x14ac:dyDescent="0.55000000000000004">
      <c r="H31" s="106"/>
      <c r="J31" s="2"/>
      <c r="K31" s="2"/>
      <c r="N31" s="2"/>
      <c r="O31" s="2"/>
      <c r="P31" s="2"/>
      <c r="Q31" s="2"/>
      <c r="S31" s="2"/>
      <c r="T31" s="2"/>
      <c r="U31" s="2"/>
      <c r="V31" s="2"/>
      <c r="W31" s="2"/>
      <c r="X31" s="2"/>
      <c r="Y31" s="2"/>
      <c r="Z31" s="2"/>
      <c r="AA31" s="22"/>
      <c r="AB31" s="2"/>
      <c r="AC31" s="2"/>
      <c r="AD31" s="2"/>
      <c r="AE31" s="2"/>
      <c r="AF31" s="2"/>
      <c r="AG31" s="21"/>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row>
    <row r="32" spans="2:63" x14ac:dyDescent="0.55000000000000004">
      <c r="H32" s="106"/>
      <c r="J32" s="2"/>
      <c r="K32" s="2"/>
      <c r="N32" s="2"/>
      <c r="O32" s="2"/>
      <c r="P32" s="2"/>
      <c r="Q32" s="2"/>
      <c r="S32" s="2"/>
      <c r="T32" s="2"/>
      <c r="U32" s="2"/>
      <c r="V32" s="2"/>
      <c r="W32" s="2"/>
      <c r="X32" s="2"/>
      <c r="Y32" s="2"/>
      <c r="Z32" s="2"/>
      <c r="AA32" s="22"/>
      <c r="AB32" s="2"/>
      <c r="AC32" s="2"/>
      <c r="AD32" s="2"/>
      <c r="AE32" s="2"/>
      <c r="AF32" s="2"/>
      <c r="AG32" s="21"/>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row>
    <row r="33" spans="1:63" x14ac:dyDescent="0.55000000000000004">
      <c r="H33" s="106"/>
      <c r="J33" s="2"/>
      <c r="K33" s="2"/>
      <c r="N33" s="2"/>
      <c r="O33" s="2"/>
      <c r="P33" s="2"/>
      <c r="Q33" s="2"/>
      <c r="S33" s="2"/>
      <c r="T33" s="2"/>
      <c r="U33" s="2"/>
      <c r="V33" s="2"/>
      <c r="W33" s="2"/>
      <c r="X33" s="2"/>
      <c r="Y33" s="2"/>
      <c r="Z33" s="2"/>
      <c r="AA33" s="22"/>
      <c r="AB33" s="2"/>
      <c r="AC33" s="2"/>
      <c r="AD33" s="2"/>
      <c r="AE33" s="2"/>
      <c r="AF33" s="2"/>
      <c r="AG33" s="21"/>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row>
    <row r="34" spans="1:63" ht="18.3" x14ac:dyDescent="0.55000000000000004">
      <c r="A34" s="2"/>
      <c r="B34" s="144" t="s">
        <v>171</v>
      </c>
      <c r="C34" s="108"/>
      <c r="D34" s="109"/>
      <c r="H34" s="106"/>
      <c r="J34" s="2"/>
      <c r="K34" s="2"/>
      <c r="N34" s="2"/>
      <c r="O34" s="2"/>
      <c r="P34" s="2"/>
      <c r="Q34" s="2"/>
      <c r="S34" s="2"/>
      <c r="T34" s="2"/>
      <c r="U34" s="2"/>
      <c r="V34" s="2"/>
      <c r="W34" s="2"/>
      <c r="X34" s="2"/>
      <c r="Y34" s="2"/>
      <c r="Z34" s="2"/>
      <c r="AA34" s="22"/>
      <c r="AB34" s="2"/>
      <c r="AC34" s="2"/>
      <c r="AD34" s="2"/>
      <c r="AE34" s="2"/>
      <c r="AF34" s="2"/>
      <c r="AG34" s="21"/>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row>
    <row r="35" spans="1:63" outlineLevel="1" x14ac:dyDescent="0.55000000000000004">
      <c r="D35" s="2"/>
      <c r="E35" s="2"/>
      <c r="F35" s="2"/>
      <c r="G35" s="2"/>
      <c r="H35" s="2"/>
      <c r="I35" s="2"/>
      <c r="J35" s="2"/>
      <c r="K35" s="2"/>
      <c r="L35" s="2"/>
      <c r="M35" s="2"/>
      <c r="N35" s="2"/>
      <c r="O35" s="2"/>
      <c r="P35" s="2"/>
      <c r="Q35" s="2"/>
      <c r="R35" s="2"/>
      <c r="S35" s="2"/>
      <c r="T35" s="2"/>
      <c r="U35" s="2"/>
      <c r="V35" s="2"/>
      <c r="W35" s="2"/>
      <c r="X35" s="45"/>
      <c r="Y35" s="46"/>
      <c r="Z35" s="2"/>
      <c r="AA35" s="2"/>
      <c r="AB35" s="2"/>
      <c r="AC35" s="2"/>
      <c r="AD35" s="2"/>
      <c r="AE35" s="2"/>
      <c r="AF35" s="2"/>
      <c r="AG35" s="21"/>
      <c r="AH35" s="2"/>
      <c r="AI35" s="2"/>
      <c r="AJ35" s="2"/>
      <c r="AK35" s="2"/>
      <c r="AL35" s="2"/>
    </row>
    <row r="36" spans="1:63" ht="19.899999999999999" customHeight="1" outlineLevel="1" x14ac:dyDescent="0.55000000000000004">
      <c r="B36" s="173" t="s">
        <v>68</v>
      </c>
      <c r="C36" s="173"/>
      <c r="D36" s="173"/>
      <c r="E36" s="2"/>
      <c r="F36" s="174" t="s">
        <v>129</v>
      </c>
      <c r="G36" s="174"/>
      <c r="H36" s="174"/>
      <c r="I36" s="2"/>
      <c r="J36" s="174" t="s">
        <v>70</v>
      </c>
      <c r="K36" s="174"/>
      <c r="L36" s="174"/>
      <c r="M36" s="174"/>
      <c r="N36" s="2"/>
      <c r="O36" s="174" t="s">
        <v>39</v>
      </c>
      <c r="P36" s="174"/>
      <c r="Q36" s="174"/>
      <c r="R36" s="174"/>
      <c r="S36" s="2"/>
      <c r="T36" s="170" t="s">
        <v>474</v>
      </c>
      <c r="U36" s="170"/>
      <c r="W36" s="171" t="s">
        <v>32</v>
      </c>
      <c r="X36" s="171"/>
      <c r="Y36" s="171"/>
      <c r="Z36" s="171"/>
      <c r="AA36" s="171"/>
      <c r="AB36" s="171"/>
      <c r="AC36" s="2"/>
      <c r="AD36" s="171" t="s">
        <v>33</v>
      </c>
      <c r="AE36" s="171"/>
      <c r="AF36" s="171"/>
      <c r="AG36" s="171"/>
      <c r="AH36" s="171"/>
      <c r="AI36" s="171"/>
      <c r="AJ36" s="21"/>
      <c r="AK36" s="171" t="s">
        <v>154</v>
      </c>
      <c r="AL36" s="171"/>
      <c r="AM36" s="19"/>
      <c r="AN36" s="171" t="s">
        <v>340</v>
      </c>
      <c r="AO36" s="171"/>
    </row>
    <row r="37" spans="1:63" ht="30.6" customHeight="1" outlineLevel="1" x14ac:dyDescent="0.55000000000000004">
      <c r="B37" s="146" t="s">
        <v>149</v>
      </c>
      <c r="C37" s="146" t="s">
        <v>10</v>
      </c>
      <c r="D37" s="78" t="s">
        <v>126</v>
      </c>
      <c r="E37" s="13"/>
      <c r="F37" s="82" t="s">
        <v>129</v>
      </c>
      <c r="G37" s="82" t="s">
        <v>158</v>
      </c>
      <c r="H37" s="134" t="s">
        <v>2</v>
      </c>
      <c r="I37" s="2"/>
      <c r="J37" s="88" t="s">
        <v>127</v>
      </c>
      <c r="K37" s="88" t="s">
        <v>37</v>
      </c>
      <c r="L37" s="48" t="s">
        <v>131</v>
      </c>
      <c r="M37" s="134" t="s">
        <v>2</v>
      </c>
      <c r="N37" s="13"/>
      <c r="O37" s="91" t="s">
        <v>128</v>
      </c>
      <c r="P37" s="91" t="s">
        <v>37</v>
      </c>
      <c r="Q37" s="92" t="s">
        <v>132</v>
      </c>
      <c r="R37" s="134" t="s">
        <v>2</v>
      </c>
      <c r="S37" s="55"/>
      <c r="T37" s="91" t="s">
        <v>159</v>
      </c>
      <c r="U37" s="91" t="s">
        <v>37</v>
      </c>
      <c r="W37" s="53" t="s">
        <v>12</v>
      </c>
      <c r="X37" s="53" t="s">
        <v>35</v>
      </c>
      <c r="Y37" s="53" t="s">
        <v>36</v>
      </c>
      <c r="Z37" s="53" t="s">
        <v>42</v>
      </c>
      <c r="AA37" s="56" t="s">
        <v>121</v>
      </c>
      <c r="AB37" s="53" t="s">
        <v>1</v>
      </c>
      <c r="AC37" s="55"/>
      <c r="AD37" s="53" t="s">
        <v>12</v>
      </c>
      <c r="AE37" s="53" t="s">
        <v>35</v>
      </c>
      <c r="AF37" s="53" t="s">
        <v>36</v>
      </c>
      <c r="AG37" s="56" t="s">
        <v>42</v>
      </c>
      <c r="AH37" s="56" t="s">
        <v>121</v>
      </c>
      <c r="AI37" s="53" t="s">
        <v>1</v>
      </c>
      <c r="AJ37" s="57"/>
      <c r="AK37" s="58" t="s">
        <v>3</v>
      </c>
      <c r="AL37" s="58" t="s">
        <v>0</v>
      </c>
      <c r="AM37" s="19"/>
      <c r="AN37" s="76" t="s">
        <v>46</v>
      </c>
      <c r="AO37" s="76" t="s">
        <v>150</v>
      </c>
      <c r="AP37" s="19"/>
      <c r="AQ37" s="19"/>
      <c r="AR37" s="19"/>
      <c r="AS37" s="19"/>
    </row>
    <row r="38" spans="1:63" s="19" customFormat="1" outlineLevel="1" x14ac:dyDescent="0.55000000000000004">
      <c r="B38" s="15" t="s">
        <v>176</v>
      </c>
      <c r="C38" s="15" t="s">
        <v>177</v>
      </c>
      <c r="D38" s="16" t="s">
        <v>178</v>
      </c>
      <c r="E38" s="20"/>
      <c r="F38" s="83" t="s">
        <v>179</v>
      </c>
      <c r="G38" s="83" t="s">
        <v>180</v>
      </c>
      <c r="H38" s="18" t="s">
        <v>181</v>
      </c>
      <c r="I38" s="23"/>
      <c r="J38" s="18" t="s">
        <v>182</v>
      </c>
      <c r="K38" s="18" t="s">
        <v>183</v>
      </c>
      <c r="L38" s="18" t="s">
        <v>187</v>
      </c>
      <c r="M38" s="17" t="s">
        <v>188</v>
      </c>
      <c r="N38" s="20"/>
      <c r="O38" s="17" t="s">
        <v>189</v>
      </c>
      <c r="P38" s="17" t="s">
        <v>190</v>
      </c>
      <c r="Q38" s="17" t="s">
        <v>191</v>
      </c>
      <c r="R38" s="143" t="s">
        <v>192</v>
      </c>
      <c r="S38" s="61"/>
      <c r="T38" s="17" t="s">
        <v>193</v>
      </c>
      <c r="U38" s="17" t="s">
        <v>194</v>
      </c>
      <c r="W38" s="60" t="s">
        <v>195</v>
      </c>
      <c r="X38" s="60" t="s">
        <v>196</v>
      </c>
      <c r="Y38" s="60" t="s">
        <v>197</v>
      </c>
      <c r="Z38" s="60" t="s">
        <v>198</v>
      </c>
      <c r="AA38" s="60" t="s">
        <v>199</v>
      </c>
      <c r="AB38" s="60" t="s">
        <v>200</v>
      </c>
      <c r="AC38" s="61"/>
      <c r="AD38" s="60" t="s">
        <v>201</v>
      </c>
      <c r="AE38" s="60" t="s">
        <v>202</v>
      </c>
      <c r="AF38" s="60" t="s">
        <v>203</v>
      </c>
      <c r="AG38" s="60" t="s">
        <v>204</v>
      </c>
      <c r="AH38" s="60" t="s">
        <v>205</v>
      </c>
      <c r="AI38" s="60" t="s">
        <v>206</v>
      </c>
      <c r="AJ38" s="62"/>
      <c r="AK38" s="60" t="s">
        <v>207</v>
      </c>
      <c r="AL38" s="60" t="s">
        <v>208</v>
      </c>
      <c r="AN38" s="60" t="s">
        <v>209</v>
      </c>
      <c r="AO38" s="60" t="s">
        <v>210</v>
      </c>
    </row>
    <row r="39" spans="1:63" outlineLevel="1" x14ac:dyDescent="0.55000000000000004">
      <c r="B39" s="1"/>
      <c r="C39" s="3">
        <v>0</v>
      </c>
      <c r="D39" s="87">
        <v>1</v>
      </c>
      <c r="E39" s="2"/>
      <c r="F39" s="84">
        <v>1</v>
      </c>
      <c r="G39" s="84"/>
      <c r="H39" s="5"/>
      <c r="I39" s="2"/>
      <c r="J39" s="2"/>
      <c r="K39" s="2"/>
      <c r="L39" s="55"/>
      <c r="M39" s="55"/>
      <c r="N39" s="2"/>
      <c r="O39" s="10"/>
      <c r="P39" s="10"/>
      <c r="Q39" s="49"/>
      <c r="R39" s="55"/>
      <c r="S39" s="55"/>
      <c r="T39" s="2"/>
      <c r="U39" s="2"/>
      <c r="W39" s="63">
        <f>IFERROR(IF(C39&gt;=$F$7*4,0,-IF($F$22="pattern",U40*$F$21,IF(AND($F$22="single",C39=0),$F$21,IF(AND($F$22="annual",MOD(C39,4)=0),$F$21/$F$7,IF(AND($F$22="semi-ann",MOD(C39,2)=0),$F$21/(2*$F$7),IF($F$22="quarterly",$F$21/(4*$F$7),0)))))*F39),0)</f>
        <v>-1825458.6239573236</v>
      </c>
      <c r="X39" s="63"/>
      <c r="Y39" s="63"/>
      <c r="Z39" s="63">
        <f>-$F$13*$F$21</f>
        <v>-900000</v>
      </c>
      <c r="AA39" s="63"/>
      <c r="AB39" s="64">
        <f>SUM(W39:AA39)</f>
        <v>-2725458.6239573238</v>
      </c>
      <c r="AC39" s="55"/>
      <c r="AD39" s="64">
        <f t="shared" ref="AD39:AD55" si="0">W39*$D39</f>
        <v>-1825458.6239573236</v>
      </c>
      <c r="AE39" s="64"/>
      <c r="AF39" s="64"/>
      <c r="AG39" s="64">
        <f t="shared" ref="AG39:AG55" si="1">Z39*$D39</f>
        <v>-900000</v>
      </c>
      <c r="AH39" s="64"/>
      <c r="AI39" s="64">
        <f>SUM(AD39:AH39)</f>
        <v>-2725458.6239573238</v>
      </c>
      <c r="AJ39" s="57"/>
      <c r="AK39" s="51">
        <f ca="1">SUM(AD39:AD$55,AG39:AG$55)/D39+SUM(AE40:AF$56,AH40:AH$55)/D39</f>
        <v>-4508618.2244061092</v>
      </c>
      <c r="AL39" s="51">
        <f>SUM(AE40:$AF$56)*$F$14/D39</f>
        <v>212439.58335774799</v>
      </c>
      <c r="AM39" s="19"/>
      <c r="AN39" s="51">
        <f ca="1">-SUM(AD39:$AD$56,AH39:$AH$56)/D39</f>
        <v>7857409.8915610677</v>
      </c>
      <c r="AO39" s="51">
        <f ca="1">-SUM(W39:$W$56,AA39:$AA$56)</f>
        <v>7940519.991330306</v>
      </c>
      <c r="AP39" s="19"/>
      <c r="AQ39" s="19"/>
      <c r="AR39" s="19"/>
      <c r="AS39" s="19"/>
    </row>
    <row r="40" spans="1:63" outlineLevel="1" x14ac:dyDescent="0.55000000000000004">
      <c r="A40" s="9"/>
      <c r="B40" s="1" t="s">
        <v>6</v>
      </c>
      <c r="C40" s="3">
        <v>1</v>
      </c>
      <c r="D40" s="87">
        <f t="shared" ref="D40:D55" si="2">D39/(1+$F$17)^(1/4)</f>
        <v>0.99506157747984325</v>
      </c>
      <c r="E40" s="4"/>
      <c r="F40" s="84">
        <f t="shared" ref="F40:F47" si="3">(1-$F$19)^(C40/4)</f>
        <v>0.94574160900317583</v>
      </c>
      <c r="G40" s="84">
        <f>AVERAGE(F39:F40)</f>
        <v>0.97287080450158792</v>
      </c>
      <c r="H40" s="84">
        <f>F40*D40</f>
        <v>0.94107113734302528</v>
      </c>
      <c r="I40" s="4"/>
      <c r="J40" s="98">
        <v>1</v>
      </c>
      <c r="K40" s="94">
        <f t="shared" ref="K40:K47" si="4">J40/$J$58</f>
        <v>6.25E-2</v>
      </c>
      <c r="L40" s="47">
        <f>J40*G40</f>
        <v>0.97287080450158792</v>
      </c>
      <c r="M40" s="47">
        <f>L40*D40</f>
        <v>0.96806635741143421</v>
      </c>
      <c r="N40" s="4"/>
      <c r="O40" s="98">
        <v>1</v>
      </c>
      <c r="P40" s="94">
        <f t="shared" ref="P40:P47" si="5">O40/$O$58</f>
        <v>6.25E-2</v>
      </c>
      <c r="Q40" s="47">
        <f>O40*G40</f>
        <v>0.97287080450158792</v>
      </c>
      <c r="R40" s="47">
        <f>Q40*D40</f>
        <v>0.96806635741143421</v>
      </c>
      <c r="T40" s="138">
        <v>0.20282873599525819</v>
      </c>
      <c r="U40" s="136">
        <f t="shared" ref="U40:U55" si="6">T40/$T$58</f>
        <v>0.20282873599525819</v>
      </c>
      <c r="W40" s="63">
        <f t="shared" ref="W40:W55" si="7">IFERROR(IF(C40&gt;=$F$7*4,0,-IF($F$22="pattern",U41*$F$21,IF(AND($F$22="single",C40=0),$F$21,IF(AND($F$22="annual",MOD(C40,4)=0),$F$21/$F$7,IF(AND($F$22="semi-ann",MOD(C40,2)=0),$F$21/(2*$F$7),IF($F$22="quarterly",$F$21/(4*$F$7),0)))))*F40),0)</f>
        <v>-1516687.3113547864</v>
      </c>
      <c r="X40" s="63">
        <f t="shared" ref="X40:X55" si="8">$F$21*$F$11*P40*((1+$F$18)^(C40/4))*F40</f>
        <v>319982.78747207677</v>
      </c>
      <c r="Y40" s="63">
        <f t="shared" ref="Y40:Y55" si="9">$F$21*$F$12*IF($F$28="risk",P40*F40,IF($F$28="policies IF",F40/($F$7*4),1/($F$7*4)))</f>
        <v>79796.948259642959</v>
      </c>
      <c r="Z40" s="63">
        <v>0</v>
      </c>
      <c r="AA40" s="63">
        <f t="shared" ref="AA40:AA55" ca="1" si="10">IF($F$25="no",0,1)*(F40-F39)*OFFSET(W40,-IF($F$22="single",C40,IF($F$22="annual",MOD(C40,4),IF($F$22="semi-ann",MOD(C40,2),0))),0)*IF($F$22="single",($F$7*4-C40)/($F$7*4),IF(AND($F$22="annual",MOD(C40,4)&lt;&gt;0),(4-MOD(C40,4))/4,IF(AND($F$22="semi-ann",MOD(C40,2)&lt;&gt;0),0.5,0)))</f>
        <v>0</v>
      </c>
      <c r="AB40" s="64">
        <f t="shared" ref="AB40:AB47" ca="1" si="11">SUM(W40:AA40)</f>
        <v>-1116907.5756230666</v>
      </c>
      <c r="AC40" s="51"/>
      <c r="AD40" s="51">
        <f t="shared" si="0"/>
        <v>-1509197.2685803559</v>
      </c>
      <c r="AE40" s="64">
        <f t="shared" ref="AE40:AE55" si="12">X40*$D40</f>
        <v>318402.57726836216</v>
      </c>
      <c r="AF40" s="64">
        <f t="shared" ref="AF40:AF55" si="13">Y40*$D40</f>
        <v>79402.877213317755</v>
      </c>
      <c r="AG40" s="51">
        <f t="shared" si="1"/>
        <v>0</v>
      </c>
      <c r="AH40" s="64">
        <f t="shared" ref="AH40:AH55" ca="1" si="14">AA40*$D40</f>
        <v>0</v>
      </c>
      <c r="AI40" s="64">
        <f t="shared" ref="AI40:AI47" ca="1" si="15">SUM(AD40:AH40)</f>
        <v>-1111391.814098676</v>
      </c>
      <c r="AJ40" s="11"/>
      <c r="AK40" s="51">
        <f ca="1">SUM(AD40:AD$55,AG40:AG$55)/D40+SUM(AE41:AF$56,AH41:AH$55)/D40</f>
        <v>-2191789.0352616329</v>
      </c>
      <c r="AL40" s="51">
        <f>SUM(AE41:$AF$56)*$F$14/D40</f>
        <v>193504.91968680648</v>
      </c>
      <c r="AM40" s="19"/>
      <c r="AN40" s="51">
        <f ca="1">-SUM(AD40:$AD$56,AH40:$AH$56)/D40</f>
        <v>6061887.4289977616</v>
      </c>
      <c r="AO40" s="51">
        <f ca="1">-SUM(W40:$W$56,AA40:$AA$56)</f>
        <v>6115061.3673729813</v>
      </c>
      <c r="AP40" s="19"/>
      <c r="AQ40" s="127"/>
      <c r="AR40" s="19"/>
      <c r="AS40" s="19"/>
    </row>
    <row r="41" spans="1:63" outlineLevel="1" x14ac:dyDescent="0.55000000000000004">
      <c r="A41" s="9"/>
      <c r="B41" s="1" t="s">
        <v>7</v>
      </c>
      <c r="C41" s="3">
        <v>2</v>
      </c>
      <c r="D41" s="87">
        <f t="shared" si="2"/>
        <v>0.99014754297667418</v>
      </c>
      <c r="E41" s="4"/>
      <c r="F41" s="84">
        <f t="shared" si="3"/>
        <v>0.89442719099991586</v>
      </c>
      <c r="G41" s="84">
        <f t="shared" ref="G41:G47" si="16">AVERAGE(F40:F41)</f>
        <v>0.92008440000154579</v>
      </c>
      <c r="H41" s="84">
        <f t="shared" ref="H41:H47" si="17">F41*D41</f>
        <v>0.88561488554009515</v>
      </c>
      <c r="I41" s="4"/>
      <c r="J41" s="98">
        <v>1</v>
      </c>
      <c r="K41" s="94">
        <f t="shared" si="4"/>
        <v>6.25E-2</v>
      </c>
      <c r="L41" s="47">
        <f t="shared" ref="L41:L47" si="18">J41*G41</f>
        <v>0.92008440000154579</v>
      </c>
      <c r="M41" s="47">
        <f t="shared" ref="M41:M47" si="19">L41*D41</f>
        <v>0.91101930799269804</v>
      </c>
      <c r="N41" s="4"/>
      <c r="O41" s="98">
        <v>1</v>
      </c>
      <c r="P41" s="94">
        <f t="shared" si="5"/>
        <v>6.25E-2</v>
      </c>
      <c r="Q41" s="47">
        <f t="shared" ref="Q41:Q47" si="20">O41*G41</f>
        <v>0.92008440000154579</v>
      </c>
      <c r="R41" s="47">
        <f t="shared" ref="R41:R47" si="21">Q41*D41</f>
        <v>0.91101930799269804</v>
      </c>
      <c r="S41" s="51"/>
      <c r="T41" s="138">
        <v>0.17818906429460918</v>
      </c>
      <c r="U41" s="136">
        <f t="shared" si="6"/>
        <v>0.17818906429460918</v>
      </c>
      <c r="W41" s="63">
        <f t="shared" si="7"/>
        <v>-1625588.2491037957</v>
      </c>
      <c r="X41" s="63">
        <f t="shared" si="8"/>
        <v>303374.76823229709</v>
      </c>
      <c r="Y41" s="63">
        <f t="shared" si="9"/>
        <v>75467.294240617906</v>
      </c>
      <c r="Z41" s="63">
        <v>0</v>
      </c>
      <c r="AA41" s="63">
        <f t="shared" ca="1" si="10"/>
        <v>0</v>
      </c>
      <c r="AB41" s="64">
        <f t="shared" ca="1" si="11"/>
        <v>-1246746.1866308807</v>
      </c>
      <c r="AC41" s="51"/>
      <c r="AD41" s="51">
        <f t="shared" si="0"/>
        <v>-1609572.2107418771</v>
      </c>
      <c r="AE41" s="64">
        <f t="shared" si="12"/>
        <v>300385.78136632696</v>
      </c>
      <c r="AF41" s="64">
        <f t="shared" si="13"/>
        <v>74723.755967445541</v>
      </c>
      <c r="AG41" s="51">
        <f t="shared" si="1"/>
        <v>0</v>
      </c>
      <c r="AH41" s="64">
        <f t="shared" ca="1" si="14"/>
        <v>0</v>
      </c>
      <c r="AI41" s="64">
        <f t="shared" ca="1" si="15"/>
        <v>-1234462.6734081048</v>
      </c>
      <c r="AJ41" s="57"/>
      <c r="AK41" s="51">
        <f ca="1">SUM(AD41:AD$55,AG41:AG$55)/D41+SUM(AE42:AF$56,AH42:AH$55)/D41</f>
        <v>-1057294.2700404641</v>
      </c>
      <c r="AL41" s="51">
        <f>SUM(AE42:$AF$56)*$F$14/D41</f>
        <v>175523.16823864455</v>
      </c>
      <c r="AM41" s="19"/>
      <c r="AN41" s="51">
        <f ca="1">-SUM(AD41:$AD$56,AH41:$AH$56)/D41</f>
        <v>4567757.6348133553</v>
      </c>
      <c r="AO41" s="51">
        <f ca="1">-SUM(W41:$W$56,AA41:$AA$56)</f>
        <v>4598374.056018196</v>
      </c>
      <c r="AP41" s="19"/>
      <c r="AQ41" s="127"/>
      <c r="AR41" s="19"/>
      <c r="AS41" s="19"/>
    </row>
    <row r="42" spans="1:63" outlineLevel="1" x14ac:dyDescent="0.55000000000000004">
      <c r="A42" s="9"/>
      <c r="B42" s="1" t="s">
        <v>8</v>
      </c>
      <c r="C42" s="3">
        <v>3</v>
      </c>
      <c r="D42" s="87">
        <f t="shared" si="2"/>
        <v>0.98525777605216036</v>
      </c>
      <c r="E42" s="4"/>
      <c r="F42" s="84">
        <f>(1-$F$19)^(C42/4)</f>
        <v>0.84589701075245127</v>
      </c>
      <c r="G42" s="84">
        <f t="shared" si="16"/>
        <v>0.87016210087618351</v>
      </c>
      <c r="H42" s="84">
        <f t="shared" si="17"/>
        <v>0.83342660758313047</v>
      </c>
      <c r="I42" s="4"/>
      <c r="J42" s="98">
        <v>1</v>
      </c>
      <c r="K42" s="94">
        <f t="shared" si="4"/>
        <v>6.25E-2</v>
      </c>
      <c r="L42" s="47">
        <f t="shared" si="18"/>
        <v>0.87016210087618351</v>
      </c>
      <c r="M42" s="47">
        <f t="shared" si="19"/>
        <v>0.85733397631414421</v>
      </c>
      <c r="N42" s="4"/>
      <c r="O42" s="98">
        <v>1</v>
      </c>
      <c r="P42" s="94">
        <f t="shared" si="5"/>
        <v>6.25E-2</v>
      </c>
      <c r="Q42" s="47">
        <f t="shared" si="20"/>
        <v>0.87016210087618351</v>
      </c>
      <c r="R42" s="47">
        <f t="shared" si="21"/>
        <v>0.85733397631414421</v>
      </c>
      <c r="S42" s="51"/>
      <c r="T42" s="138">
        <v>0.20194032380116383</v>
      </c>
      <c r="U42" s="136">
        <f t="shared" si="6"/>
        <v>0.20194032380116383</v>
      </c>
      <c r="W42" s="63">
        <f t="shared" si="7"/>
        <v>-1576640.0392691609</v>
      </c>
      <c r="X42" s="63">
        <f t="shared" si="8"/>
        <v>287628.75255604647</v>
      </c>
      <c r="Y42" s="63">
        <f t="shared" si="9"/>
        <v>71372.560282238075</v>
      </c>
      <c r="Z42" s="63">
        <v>0</v>
      </c>
      <c r="AA42" s="63">
        <f t="shared" ca="1" si="10"/>
        <v>0</v>
      </c>
      <c r="AB42" s="64">
        <f t="shared" ca="1" si="11"/>
        <v>-1217638.7264308764</v>
      </c>
      <c r="AC42" s="51"/>
      <c r="AD42" s="51">
        <f t="shared" si="0"/>
        <v>-1553396.8587251243</v>
      </c>
      <c r="AE42" s="64">
        <f t="shared" si="12"/>
        <v>283388.46507202747</v>
      </c>
      <c r="AF42" s="64">
        <f t="shared" si="13"/>
        <v>70320.370014826636</v>
      </c>
      <c r="AG42" s="51">
        <f t="shared" si="1"/>
        <v>0</v>
      </c>
      <c r="AH42" s="64">
        <f t="shared" ca="1" si="14"/>
        <v>0</v>
      </c>
      <c r="AI42" s="64">
        <f t="shared" ca="1" si="15"/>
        <v>-1199688.0236382703</v>
      </c>
      <c r="AJ42" s="57"/>
      <c r="AK42" s="51">
        <f ca="1">SUM(AD42:AD$55,AG42:AG$55)/D42+SUM(AE43:AF$56,AH43:AH$55)/D42</f>
        <v>212113.07035660185</v>
      </c>
      <c r="AL42" s="51">
        <f>SUM(AE43:$AF$56)*$F$14/D42</f>
        <v>158444.21207021066</v>
      </c>
      <c r="AM42" s="19"/>
      <c r="AN42" s="51">
        <f ca="1">-SUM(AD42:$AD$56,AH42:$AH$56)/D42</f>
        <v>2956771.1710476112</v>
      </c>
      <c r="AO42" s="51">
        <f ca="1">-SUM(W42:$W$56,AA42:$AA$56)</f>
        <v>2972785.8069143989</v>
      </c>
      <c r="AP42" s="19"/>
      <c r="AQ42" s="127"/>
      <c r="AR42" s="19"/>
      <c r="AS42" s="19"/>
    </row>
    <row r="43" spans="1:63" outlineLevel="1" x14ac:dyDescent="0.55000000000000004">
      <c r="A43" s="9"/>
      <c r="B43" s="1" t="s">
        <v>9</v>
      </c>
      <c r="C43" s="3">
        <v>4</v>
      </c>
      <c r="D43" s="87">
        <f t="shared" si="2"/>
        <v>0.98039215686274483</v>
      </c>
      <c r="E43" s="4"/>
      <c r="F43" s="84">
        <f t="shared" si="3"/>
        <v>0.8</v>
      </c>
      <c r="G43" s="84">
        <f t="shared" si="16"/>
        <v>0.82294850537622566</v>
      </c>
      <c r="H43" s="84">
        <f t="shared" si="17"/>
        <v>0.78431372549019596</v>
      </c>
      <c r="I43" s="4"/>
      <c r="J43" s="98">
        <v>1</v>
      </c>
      <c r="K43" s="94">
        <f t="shared" si="4"/>
        <v>6.25E-2</v>
      </c>
      <c r="L43" s="47">
        <f t="shared" si="18"/>
        <v>0.82294850537622566</v>
      </c>
      <c r="M43" s="47">
        <f t="shared" si="19"/>
        <v>0.80681226017277008</v>
      </c>
      <c r="N43" s="4"/>
      <c r="O43" s="98">
        <v>1</v>
      </c>
      <c r="P43" s="94">
        <f t="shared" si="5"/>
        <v>6.25E-2</v>
      </c>
      <c r="Q43" s="47">
        <f t="shared" si="20"/>
        <v>0.82294850537622566</v>
      </c>
      <c r="R43" s="47">
        <f t="shared" si="21"/>
        <v>0.80681226017277008</v>
      </c>
      <c r="S43" s="51"/>
      <c r="T43" s="138">
        <v>0.20709640104961757</v>
      </c>
      <c r="U43" s="136">
        <f t="shared" si="6"/>
        <v>0.20709640104961757</v>
      </c>
      <c r="W43" s="63">
        <f t="shared" si="7"/>
        <v>-598862.14189269196</v>
      </c>
      <c r="X43" s="63">
        <f t="shared" si="8"/>
        <v>272700</v>
      </c>
      <c r="Y43" s="63">
        <f t="shared" si="9"/>
        <v>67500</v>
      </c>
      <c r="Z43" s="63">
        <v>0</v>
      </c>
      <c r="AA43" s="63">
        <f t="shared" ca="1" si="10"/>
        <v>0</v>
      </c>
      <c r="AB43" s="64">
        <f t="shared" ca="1" si="11"/>
        <v>-258662.14189269196</v>
      </c>
      <c r="AC43" s="51"/>
      <c r="AD43" s="51">
        <f t="shared" si="0"/>
        <v>-587119.74695361941</v>
      </c>
      <c r="AE43" s="64">
        <f t="shared" si="12"/>
        <v>267352.94117647054</v>
      </c>
      <c r="AF43" s="64">
        <f t="shared" si="13"/>
        <v>66176.470588235272</v>
      </c>
      <c r="AG43" s="51">
        <f t="shared" si="1"/>
        <v>0</v>
      </c>
      <c r="AH43" s="64">
        <f t="shared" ca="1" si="14"/>
        <v>0</v>
      </c>
      <c r="AI43" s="64">
        <f t="shared" ca="1" si="15"/>
        <v>-253590.3351889136</v>
      </c>
      <c r="AJ43" s="57"/>
      <c r="AK43" s="51">
        <f ca="1">SUM(AD43:AD$55,AG43:AG$55)/D43+SUM(AE44:AF$56,AH44:AH$55)/D43</f>
        <v>1457430.5689101922</v>
      </c>
      <c r="AL43" s="51">
        <f>SUM(AE44:$AF$56)*$F$14/D43</f>
        <v>142220.55985288534</v>
      </c>
      <c r="AM43" s="19"/>
      <c r="AN43" s="51">
        <f ca="1">-SUM(AD43:$AD$56,AH43:$AH$56)/D43</f>
        <v>1386980.6281475141</v>
      </c>
      <c r="AO43" s="51">
        <f ca="1">-SUM(W43:$W$56,AA43:$AA$56)</f>
        <v>1396145.767645238</v>
      </c>
      <c r="AP43" s="19"/>
      <c r="AQ43" s="127"/>
      <c r="AR43" s="19"/>
      <c r="AS43" s="19"/>
    </row>
    <row r="44" spans="1:63" outlineLevel="1" x14ac:dyDescent="0.55000000000000004">
      <c r="A44" s="9"/>
      <c r="B44" s="1" t="s">
        <v>16</v>
      </c>
      <c r="C44" s="3">
        <v>5</v>
      </c>
      <c r="D44" s="87">
        <f t="shared" si="2"/>
        <v>0.97555056615670888</v>
      </c>
      <c r="E44" s="4"/>
      <c r="F44" s="84">
        <f t="shared" si="3"/>
        <v>0.75659328720254071</v>
      </c>
      <c r="G44" s="84">
        <f t="shared" si="16"/>
        <v>0.77829664360127038</v>
      </c>
      <c r="H44" s="84">
        <f t="shared" si="17"/>
        <v>0.73809500968080399</v>
      </c>
      <c r="I44" s="4"/>
      <c r="J44" s="98">
        <v>1</v>
      </c>
      <c r="K44" s="94">
        <f t="shared" si="4"/>
        <v>6.25E-2</v>
      </c>
      <c r="L44" s="47">
        <f t="shared" si="18"/>
        <v>0.77829664360127038</v>
      </c>
      <c r="M44" s="47">
        <f t="shared" si="19"/>
        <v>0.75926773130308556</v>
      </c>
      <c r="N44" s="4"/>
      <c r="O44" s="98">
        <v>1</v>
      </c>
      <c r="P44" s="94">
        <f t="shared" si="5"/>
        <v>6.25E-2</v>
      </c>
      <c r="Q44" s="47">
        <f t="shared" si="20"/>
        <v>0.77829664360127038</v>
      </c>
      <c r="R44" s="47">
        <f t="shared" si="21"/>
        <v>0.75926773130308556</v>
      </c>
      <c r="S44" s="51"/>
      <c r="T44" s="138">
        <v>8.3175297485096111E-2</v>
      </c>
      <c r="U44" s="136">
        <f t="shared" si="6"/>
        <v>8.3175297485096111E-2</v>
      </c>
      <c r="W44" s="63">
        <f t="shared" si="7"/>
        <v>-353341.95904584404</v>
      </c>
      <c r="X44" s="63">
        <f t="shared" si="8"/>
        <v>258546.09227743812</v>
      </c>
      <c r="Y44" s="63">
        <f t="shared" si="9"/>
        <v>63837.558607714374</v>
      </c>
      <c r="Z44" s="63">
        <v>0</v>
      </c>
      <c r="AA44" s="63">
        <f t="shared" ca="1" si="10"/>
        <v>0</v>
      </c>
      <c r="AB44" s="64">
        <f t="shared" ca="1" si="11"/>
        <v>-30958.308160691544</v>
      </c>
      <c r="AC44" s="51"/>
      <c r="AD44" s="51">
        <f t="shared" si="0"/>
        <v>-344702.94819409377</v>
      </c>
      <c r="AE44" s="64">
        <f t="shared" si="12"/>
        <v>252224.78669885945</v>
      </c>
      <c r="AF44" s="64">
        <f t="shared" si="13"/>
        <v>62276.766441817839</v>
      </c>
      <c r="AG44" s="51">
        <f t="shared" si="1"/>
        <v>0</v>
      </c>
      <c r="AH44" s="64">
        <f t="shared" ca="1" si="14"/>
        <v>0</v>
      </c>
      <c r="AI44" s="64">
        <f t="shared" ca="1" si="15"/>
        <v>-30201.395053416483</v>
      </c>
      <c r="AJ44" s="57"/>
      <c r="AK44" s="51">
        <f ca="1">SUM(AD44:AD$55,AG44:AG$55)/D44+SUM(AE45:AF$56,AH45:AH$55)/D44</f>
        <v>1744114.2999359246</v>
      </c>
      <c r="AL44" s="51">
        <f>SUM(AE45:$AF$56)*$F$14/D44</f>
        <v>126807.20821548032</v>
      </c>
      <c r="AM44" s="19"/>
      <c r="AN44" s="51">
        <f ca="1">-SUM(AD44:$AD$56,AH44:$AH$56)/D44</f>
        <v>792029.86437368183</v>
      </c>
      <c r="AO44" s="51">
        <f ca="1">-SUM(W44:$W$56,AA44:$AA$56)</f>
        <v>797283.62575254589</v>
      </c>
      <c r="AP44" s="19"/>
      <c r="AQ44" s="127"/>
      <c r="AR44" s="19"/>
      <c r="AS44" s="19"/>
    </row>
    <row r="45" spans="1:63" outlineLevel="1" x14ac:dyDescent="0.55000000000000004">
      <c r="A45" s="9"/>
      <c r="B45" s="1" t="s">
        <v>17</v>
      </c>
      <c r="C45" s="3">
        <v>6</v>
      </c>
      <c r="D45" s="87">
        <f t="shared" si="2"/>
        <v>0.9707328852712489</v>
      </c>
      <c r="E45" s="4"/>
      <c r="F45" s="84">
        <f t="shared" si="3"/>
        <v>0.71554175279993271</v>
      </c>
      <c r="G45" s="84">
        <f t="shared" si="16"/>
        <v>0.73606752000123676</v>
      </c>
      <c r="H45" s="84">
        <f t="shared" si="17"/>
        <v>0.69459991022752543</v>
      </c>
      <c r="I45" s="4"/>
      <c r="J45" s="98">
        <v>1</v>
      </c>
      <c r="K45" s="94">
        <f t="shared" si="4"/>
        <v>6.25E-2</v>
      </c>
      <c r="L45" s="47">
        <f t="shared" si="18"/>
        <v>0.73606752000123676</v>
      </c>
      <c r="M45" s="47">
        <f t="shared" si="19"/>
        <v>0.7145249474452533</v>
      </c>
      <c r="N45" s="4"/>
      <c r="O45" s="98">
        <v>1</v>
      </c>
      <c r="P45" s="94">
        <f t="shared" si="5"/>
        <v>6.25E-2</v>
      </c>
      <c r="Q45" s="47">
        <f t="shared" si="20"/>
        <v>0.73606752000123676</v>
      </c>
      <c r="R45" s="47">
        <f t="shared" si="21"/>
        <v>0.7145249474452533</v>
      </c>
      <c r="S45" s="51"/>
      <c r="T45" s="138">
        <v>5.1890782453176132E-2</v>
      </c>
      <c r="U45" s="136">
        <f t="shared" si="6"/>
        <v>5.1890782453176132E-2</v>
      </c>
      <c r="W45" s="63">
        <f t="shared" si="7"/>
        <v>-179227.48960220299</v>
      </c>
      <c r="X45" s="63">
        <f t="shared" si="8"/>
        <v>245126.81273169606</v>
      </c>
      <c r="Y45" s="63">
        <f t="shared" si="9"/>
        <v>60373.835392494322</v>
      </c>
      <c r="Z45" s="63">
        <v>0</v>
      </c>
      <c r="AA45" s="63">
        <f t="shared" ca="1" si="10"/>
        <v>0</v>
      </c>
      <c r="AB45" s="64">
        <f t="shared" ca="1" si="11"/>
        <v>126273.1585219874</v>
      </c>
      <c r="AC45" s="51"/>
      <c r="AD45" s="51">
        <f t="shared" si="0"/>
        <v>-173982.01810146926</v>
      </c>
      <c r="AE45" s="64">
        <f t="shared" si="12"/>
        <v>237952.65818038443</v>
      </c>
      <c r="AF45" s="64">
        <f t="shared" si="13"/>
        <v>58606.867425447461</v>
      </c>
      <c r="AG45" s="51">
        <f t="shared" si="1"/>
        <v>0</v>
      </c>
      <c r="AH45" s="64">
        <f t="shared" ca="1" si="14"/>
        <v>0</v>
      </c>
      <c r="AI45" s="64">
        <f t="shared" ca="1" si="15"/>
        <v>122577.50750436263</v>
      </c>
      <c r="AJ45" s="57"/>
      <c r="AK45" s="51">
        <f ca="1">SUM(AD45:AD$55,AG45:AG$55)/D45+SUM(AE46:AF$56,AH46:AH$55)/D45</f>
        <v>1802365.1427486921</v>
      </c>
      <c r="AL45" s="51">
        <f>SUM(AE46:$AF$56)*$F$14/D45</f>
        <v>112161.51130663323</v>
      </c>
      <c r="AM45" s="19"/>
      <c r="AN45" s="51">
        <f ca="1">-SUM(AD45:$AD$56,AH45:$AH$56)/D45</f>
        <v>440865.08338397217</v>
      </c>
      <c r="AO45" s="51">
        <f ca="1">-SUM(W45:$W$56,AA45:$AA$56)</f>
        <v>443941.66670670203</v>
      </c>
      <c r="AP45" s="19"/>
      <c r="AQ45" s="19"/>
      <c r="AR45" s="19"/>
      <c r="AS45" s="19"/>
    </row>
    <row r="46" spans="1:63" outlineLevel="1" x14ac:dyDescent="0.55000000000000004">
      <c r="A46" s="9"/>
      <c r="B46" s="1" t="s">
        <v>18</v>
      </c>
      <c r="C46" s="3">
        <v>7</v>
      </c>
      <c r="D46" s="87">
        <f t="shared" si="2"/>
        <v>0.96593899612956868</v>
      </c>
      <c r="E46" s="4"/>
      <c r="F46" s="84">
        <f t="shared" si="3"/>
        <v>0.67671760860196106</v>
      </c>
      <c r="G46" s="84">
        <f t="shared" si="16"/>
        <v>0.69612968070094694</v>
      </c>
      <c r="H46" s="84">
        <f t="shared" si="17"/>
        <v>0.65366792751618064</v>
      </c>
      <c r="I46" s="4"/>
      <c r="J46" s="98">
        <v>1</v>
      </c>
      <c r="K46" s="94">
        <f t="shared" si="4"/>
        <v>6.25E-2</v>
      </c>
      <c r="L46" s="47">
        <f t="shared" si="18"/>
        <v>0.69612968070094694</v>
      </c>
      <c r="M46" s="47">
        <f t="shared" si="19"/>
        <v>0.67241880495226991</v>
      </c>
      <c r="N46" s="4"/>
      <c r="O46" s="98">
        <v>1</v>
      </c>
      <c r="P46" s="94">
        <f t="shared" si="5"/>
        <v>6.25E-2</v>
      </c>
      <c r="Q46" s="47">
        <f t="shared" si="20"/>
        <v>0.69612968070094694</v>
      </c>
      <c r="R46" s="47">
        <f t="shared" si="21"/>
        <v>0.67241880495226991</v>
      </c>
      <c r="S46" s="51"/>
      <c r="T46" s="138">
        <v>2.7830892374108518E-2</v>
      </c>
      <c r="U46" s="136">
        <f t="shared" si="6"/>
        <v>2.7830892374108518E-2</v>
      </c>
      <c r="W46" s="63">
        <f t="shared" si="7"/>
        <v>-92728.972838416274</v>
      </c>
      <c r="X46" s="63">
        <f t="shared" si="8"/>
        <v>232404.0320652856</v>
      </c>
      <c r="Y46" s="63">
        <f t="shared" si="9"/>
        <v>57098.048225790466</v>
      </c>
      <c r="Z46" s="63">
        <v>0</v>
      </c>
      <c r="AA46" s="63">
        <f t="shared" ca="1" si="10"/>
        <v>0</v>
      </c>
      <c r="AB46" s="64">
        <f t="shared" ca="1" si="11"/>
        <v>196773.10745265978</v>
      </c>
      <c r="AC46" s="51"/>
      <c r="AD46" s="51">
        <f t="shared" si="0"/>
        <v>-89570.530935665854</v>
      </c>
      <c r="AE46" s="64">
        <f t="shared" si="12"/>
        <v>224488.11742960606</v>
      </c>
      <c r="AF46" s="64">
        <f t="shared" si="13"/>
        <v>55153.231384177743</v>
      </c>
      <c r="AG46" s="51">
        <f t="shared" si="1"/>
        <v>0</v>
      </c>
      <c r="AH46" s="64">
        <f t="shared" ca="1" si="14"/>
        <v>0</v>
      </c>
      <c r="AI46" s="64">
        <f t="shared" ca="1" si="15"/>
        <v>190070.81787811796</v>
      </c>
      <c r="AJ46" s="57"/>
      <c r="AK46" s="51">
        <f ca="1">SUM(AD46:AD$55,AG46:AG$55)/D46+SUM(AE47:AF$56,AH47:AH$55)/D46</f>
        <v>1701925.0607001414</v>
      </c>
      <c r="AL46" s="51">
        <f>SUM(AE47:$AF$56)*$F$14/D46</f>
        <v>98243.057197841365</v>
      </c>
      <c r="AM46" s="19"/>
      <c r="AN46" s="51">
        <f ca="1">-SUM(AD46:$AD$56,AH46:$AH$56)/D46</f>
        <v>262936.08325668576</v>
      </c>
      <c r="AO46" s="51">
        <f ca="1">-SUM(W46:$W$56,AA46:$AA$56)</f>
        <v>264714.17710449896</v>
      </c>
      <c r="AP46" s="19"/>
      <c r="AQ46" s="19"/>
      <c r="AR46" s="19"/>
      <c r="AS46" s="19"/>
    </row>
    <row r="47" spans="1:63" outlineLevel="1" x14ac:dyDescent="0.55000000000000004">
      <c r="A47" s="9"/>
      <c r="B47" s="1" t="s">
        <v>19</v>
      </c>
      <c r="C47" s="3">
        <v>8</v>
      </c>
      <c r="D47" s="87">
        <f t="shared" si="2"/>
        <v>0.96116878123798488</v>
      </c>
      <c r="E47" s="4"/>
      <c r="F47" s="84">
        <f t="shared" si="3"/>
        <v>0.64000000000000012</v>
      </c>
      <c r="G47" s="84">
        <f t="shared" si="16"/>
        <v>0.65835880430098059</v>
      </c>
      <c r="H47" s="84">
        <f t="shared" si="17"/>
        <v>0.61514801999231039</v>
      </c>
      <c r="I47" s="4"/>
      <c r="J47" s="98">
        <v>1</v>
      </c>
      <c r="K47" s="94">
        <f t="shared" si="4"/>
        <v>6.25E-2</v>
      </c>
      <c r="L47" s="47">
        <f t="shared" si="18"/>
        <v>0.65835880430098059</v>
      </c>
      <c r="M47" s="47">
        <f t="shared" si="19"/>
        <v>0.63279392954727054</v>
      </c>
      <c r="N47" s="4"/>
      <c r="O47" s="98">
        <v>1</v>
      </c>
      <c r="P47" s="94">
        <f t="shared" si="5"/>
        <v>6.25E-2</v>
      </c>
      <c r="Q47" s="47">
        <f t="shared" si="20"/>
        <v>0.65835880430098059</v>
      </c>
      <c r="R47" s="47">
        <f t="shared" si="21"/>
        <v>0.63279392954727054</v>
      </c>
      <c r="S47" s="51"/>
      <c r="T47" s="138">
        <v>1.5225286106495761E-2</v>
      </c>
      <c r="U47" s="136">
        <f t="shared" si="6"/>
        <v>1.5225286106495761E-2</v>
      </c>
      <c r="W47" s="63">
        <f t="shared" si="7"/>
        <v>-79881.764200966616</v>
      </c>
      <c r="X47" s="63">
        <f t="shared" si="8"/>
        <v>220341.60000000003</v>
      </c>
      <c r="Y47" s="63">
        <f t="shared" si="9"/>
        <v>54000.000000000007</v>
      </c>
      <c r="Z47" s="63">
        <v>0</v>
      </c>
      <c r="AA47" s="63">
        <f t="shared" ca="1" si="10"/>
        <v>0</v>
      </c>
      <c r="AB47" s="64">
        <f t="shared" ca="1" si="11"/>
        <v>194459.8357990334</v>
      </c>
      <c r="AC47" s="51"/>
      <c r="AD47" s="51">
        <f t="shared" si="0"/>
        <v>-76779.857940183167</v>
      </c>
      <c r="AE47" s="64">
        <f t="shared" si="12"/>
        <v>211785.46712802761</v>
      </c>
      <c r="AF47" s="64">
        <f t="shared" si="13"/>
        <v>51903.114186851191</v>
      </c>
      <c r="AG47" s="51">
        <f t="shared" si="1"/>
        <v>0</v>
      </c>
      <c r="AH47" s="64">
        <f t="shared" ca="1" si="14"/>
        <v>0</v>
      </c>
      <c r="AI47" s="64">
        <f t="shared" ca="1" si="15"/>
        <v>186908.72337469563</v>
      </c>
      <c r="AJ47" s="57"/>
      <c r="AK47" s="51">
        <f ca="1">SUM(AD47:AD$55,AG47:AG$55)/D47+SUM(AE48:AF$56,AH48:AH$55)/D47</f>
        <v>1529219.1787045836</v>
      </c>
      <c r="AL47" s="51">
        <f>SUM(AE48:$AF$56)*$F$14/D47</f>
        <v>85013.55076825658</v>
      </c>
      <c r="AM47" s="19"/>
      <c r="AN47" s="51">
        <f ca="1">-SUM(AD47:$AD$56,AH47:$AH$56)/D47</f>
        <v>171051.83666054811</v>
      </c>
      <c r="AO47" s="51">
        <f ca="1">-SUM(W47:$W$56,AA47:$AA$56)</f>
        <v>171985.2042660827</v>
      </c>
      <c r="AP47" s="19"/>
      <c r="AQ47" s="19"/>
      <c r="AR47" s="19"/>
      <c r="AS47" s="19"/>
    </row>
    <row r="48" spans="1:63" outlineLevel="1" x14ac:dyDescent="0.55000000000000004">
      <c r="A48" s="9"/>
      <c r="B48" s="1" t="s">
        <v>20</v>
      </c>
      <c r="C48" s="3">
        <v>9</v>
      </c>
      <c r="D48" s="87">
        <f t="shared" si="2"/>
        <v>0.95642212368304769</v>
      </c>
      <c r="E48" s="4"/>
      <c r="F48" s="84">
        <f t="shared" ref="F48:F55" si="22">(1-$F$19)^(C48/4)</f>
        <v>0.60527462976203261</v>
      </c>
      <c r="G48" s="84">
        <f t="shared" ref="G48:G55" si="23">AVERAGE(F47:F48)</f>
        <v>0.62263731488101637</v>
      </c>
      <c r="H48" s="84">
        <f t="shared" ref="H48:H55" si="24">F48*D48</f>
        <v>0.57889804680847368</v>
      </c>
      <c r="I48" s="4"/>
      <c r="J48" s="98">
        <v>1</v>
      </c>
      <c r="K48" s="94">
        <f t="shared" ref="K48:K55" si="25">J48/$J$58</f>
        <v>6.25E-2</v>
      </c>
      <c r="L48" s="47">
        <f t="shared" ref="L48:L55" si="26">J48*G48</f>
        <v>0.62263731488101637</v>
      </c>
      <c r="M48" s="47">
        <f t="shared" ref="M48:M55" si="27">L48*D48</f>
        <v>0.5955041029828122</v>
      </c>
      <c r="N48" s="4"/>
      <c r="O48" s="98">
        <v>1</v>
      </c>
      <c r="P48" s="94">
        <f t="shared" ref="P48:P55" si="28">O48/$O$58</f>
        <v>6.25E-2</v>
      </c>
      <c r="Q48" s="47">
        <f t="shared" ref="Q48:Q55" si="29">O48*G48</f>
        <v>0.62263731488101637</v>
      </c>
      <c r="R48" s="47">
        <f t="shared" ref="R48:R55" si="30">Q48*D48</f>
        <v>0.5955041029828122</v>
      </c>
      <c r="S48" s="51"/>
      <c r="T48" s="138">
        <v>1.3868361840445591E-2</v>
      </c>
      <c r="U48" s="136">
        <f t="shared" si="6"/>
        <v>1.3868361840445591E-2</v>
      </c>
      <c r="W48" s="63">
        <f t="shared" si="7"/>
        <v>-27678.548460161008</v>
      </c>
      <c r="X48" s="63">
        <f t="shared" si="8"/>
        <v>208905.24256017001</v>
      </c>
      <c r="Y48" s="63">
        <f t="shared" si="9"/>
        <v>51070.046886171498</v>
      </c>
      <c r="Z48" s="63">
        <v>0</v>
      </c>
      <c r="AA48" s="63">
        <f t="shared" ca="1" si="10"/>
        <v>0</v>
      </c>
      <c r="AB48" s="64">
        <f t="shared" ref="AB48:AB55" ca="1" si="31">SUM(W48:AA48)</f>
        <v>232296.74098618049</v>
      </c>
      <c r="AC48" s="51"/>
      <c r="AD48" s="51">
        <f t="shared" si="0"/>
        <v>-26472.37609873134</v>
      </c>
      <c r="AE48" s="64">
        <f t="shared" si="12"/>
        <v>199801.59573792</v>
      </c>
      <c r="AF48" s="64">
        <f t="shared" si="13"/>
        <v>48844.522699464964</v>
      </c>
      <c r="AG48" s="51">
        <f t="shared" si="1"/>
        <v>0</v>
      </c>
      <c r="AH48" s="64">
        <f t="shared" ca="1" si="14"/>
        <v>0</v>
      </c>
      <c r="AI48" s="64">
        <f t="shared" ref="AI48:AI55" ca="1" si="32">SUM(AD48:AH48)</f>
        <v>222173.74233865362</v>
      </c>
      <c r="AJ48" s="57"/>
      <c r="AK48" s="51">
        <f ca="1">SUM(AD48:AD$55,AG48:AG$55)/D48+SUM(AE49:AF$56,AH49:AH$55)/D48</f>
        <v>1357111.5113332262</v>
      </c>
      <c r="AL48" s="51">
        <f>SUM(AE49:$AF$56)*$F$14/D48</f>
        <v>72436.702731197438</v>
      </c>
      <c r="AM48" s="19"/>
      <c r="AN48" s="51">
        <f ca="1">-SUM(AD48:$AD$56,AH48:$AH$56)/D48</f>
        <v>91622.54329072246</v>
      </c>
      <c r="AO48" s="51">
        <f ca="1">-SUM(W48:$W$56,AA48:$AA$56)</f>
        <v>92103.440065116098</v>
      </c>
      <c r="AP48" s="19"/>
      <c r="AQ48" s="19"/>
      <c r="AR48" s="19"/>
      <c r="AS48" s="19"/>
    </row>
    <row r="49" spans="1:45" outlineLevel="1" x14ac:dyDescent="0.55000000000000004">
      <c r="A49" s="9"/>
      <c r="B49" s="1" t="s">
        <v>21</v>
      </c>
      <c r="C49" s="3">
        <v>10</v>
      </c>
      <c r="D49" s="87">
        <f t="shared" si="2"/>
        <v>0.95169890712867522</v>
      </c>
      <c r="E49" s="4"/>
      <c r="F49" s="84">
        <f t="shared" si="22"/>
        <v>0.57243340223994621</v>
      </c>
      <c r="G49" s="84">
        <f t="shared" si="23"/>
        <v>0.58885401600098941</v>
      </c>
      <c r="H49" s="84">
        <f t="shared" si="24"/>
        <v>0.54478424331570618</v>
      </c>
      <c r="I49" s="4"/>
      <c r="J49" s="98">
        <v>1</v>
      </c>
      <c r="K49" s="94">
        <f t="shared" si="25"/>
        <v>6.25E-2</v>
      </c>
      <c r="L49" s="47">
        <f t="shared" si="26"/>
        <v>0.58885401600098941</v>
      </c>
      <c r="M49" s="47">
        <f t="shared" si="27"/>
        <v>0.56041172348647306</v>
      </c>
      <c r="N49" s="4"/>
      <c r="O49" s="98">
        <v>1</v>
      </c>
      <c r="P49" s="94">
        <f t="shared" si="28"/>
        <v>6.25E-2</v>
      </c>
      <c r="Q49" s="47">
        <f t="shared" si="29"/>
        <v>0.58885401600098941</v>
      </c>
      <c r="R49" s="47">
        <f t="shared" si="30"/>
        <v>0.56041172348647306</v>
      </c>
      <c r="S49" s="51"/>
      <c r="T49" s="138">
        <v>5.0809898881113407E-3</v>
      </c>
      <c r="U49" s="136">
        <f t="shared" si="6"/>
        <v>5.0809898881113407E-3</v>
      </c>
      <c r="W49" s="63">
        <f t="shared" si="7"/>
        <v>-31307.615214622736</v>
      </c>
      <c r="X49" s="63">
        <f t="shared" si="8"/>
        <v>198062.46468721045</v>
      </c>
      <c r="Y49" s="63">
        <f t="shared" si="9"/>
        <v>48299.068313995464</v>
      </c>
      <c r="Z49" s="63">
        <v>0</v>
      </c>
      <c r="AA49" s="63">
        <f t="shared" ca="1" si="10"/>
        <v>0</v>
      </c>
      <c r="AB49" s="64">
        <f t="shared" ca="1" si="31"/>
        <v>215053.91778658319</v>
      </c>
      <c r="AC49" s="51"/>
      <c r="AD49" s="51">
        <f t="shared" si="0"/>
        <v>-29795.423184561543</v>
      </c>
      <c r="AE49" s="64">
        <f t="shared" si="12"/>
        <v>188495.83118603</v>
      </c>
      <c r="AF49" s="64">
        <f t="shared" si="13"/>
        <v>45966.170529762712</v>
      </c>
      <c r="AG49" s="51">
        <f t="shared" si="1"/>
        <v>0</v>
      </c>
      <c r="AH49" s="64">
        <f t="shared" ca="1" si="14"/>
        <v>0</v>
      </c>
      <c r="AI49" s="64">
        <f t="shared" ca="1" si="32"/>
        <v>204666.57853123118</v>
      </c>
      <c r="AJ49" s="57"/>
      <c r="AK49" s="51">
        <f ca="1">SUM(AD49:AD$55,AG49:AG$55)/D49+SUM(AE50:AF$56,AH50:AH$55)/D49</f>
        <v>1145301.1451021889</v>
      </c>
      <c r="AL49" s="51">
        <f>SUM(AE50:$AF$56)*$F$14/D49</f>
        <v>60478.124480180588</v>
      </c>
      <c r="AM49" s="19"/>
      <c r="AN49" s="51">
        <f ca="1">-SUM(AD49:$AD$56,AH49:$AH$56)/D49</f>
        <v>64261.34450142282</v>
      </c>
      <c r="AO49" s="51">
        <f ca="1">-SUM(W49:$W$56,AA49:$AA$56)</f>
        <v>64424.89160495509</v>
      </c>
      <c r="AP49" s="19"/>
      <c r="AQ49" s="19"/>
      <c r="AR49" s="19"/>
      <c r="AS49" s="19"/>
    </row>
    <row r="50" spans="1:45" outlineLevel="1" x14ac:dyDescent="0.55000000000000004">
      <c r="A50" s="9"/>
      <c r="B50" s="1" t="s">
        <v>22</v>
      </c>
      <c r="C50" s="3">
        <v>11</v>
      </c>
      <c r="D50" s="87">
        <f t="shared" si="2"/>
        <v>0.94699901581330248</v>
      </c>
      <c r="E50" s="4"/>
      <c r="F50" s="84">
        <f t="shared" si="22"/>
        <v>0.54137408688156885</v>
      </c>
      <c r="G50" s="84">
        <f t="shared" si="23"/>
        <v>0.55690374456075753</v>
      </c>
      <c r="H50" s="84">
        <f t="shared" si="24"/>
        <v>0.51268072746367099</v>
      </c>
      <c r="I50" s="4"/>
      <c r="J50" s="98">
        <v>1</v>
      </c>
      <c r="K50" s="94">
        <f t="shared" si="25"/>
        <v>6.25E-2</v>
      </c>
      <c r="L50" s="47">
        <f t="shared" si="26"/>
        <v>0.55690374456075753</v>
      </c>
      <c r="M50" s="47">
        <f t="shared" si="27"/>
        <v>0.52738729800178019</v>
      </c>
      <c r="N50" s="4"/>
      <c r="O50" s="98">
        <v>1</v>
      </c>
      <c r="P50" s="94">
        <f t="shared" si="28"/>
        <v>6.25E-2</v>
      </c>
      <c r="Q50" s="47">
        <f t="shared" si="29"/>
        <v>0.55690374456075753</v>
      </c>
      <c r="R50" s="47">
        <f t="shared" si="30"/>
        <v>0.52738729800178019</v>
      </c>
      <c r="S50" s="51"/>
      <c r="T50" s="138">
        <v>6.0769058883075608E-3</v>
      </c>
      <c r="U50" s="136">
        <f t="shared" si="6"/>
        <v>6.0769058883075608E-3</v>
      </c>
      <c r="W50" s="63">
        <f t="shared" si="7"/>
        <v>-33117.276390332358</v>
      </c>
      <c r="X50" s="63">
        <f t="shared" si="8"/>
        <v>187782.45790875077</v>
      </c>
      <c r="Y50" s="63">
        <f t="shared" si="9"/>
        <v>45678.43858063237</v>
      </c>
      <c r="Z50" s="63">
        <v>0</v>
      </c>
      <c r="AA50" s="63">
        <f t="shared" ca="1" si="10"/>
        <v>0</v>
      </c>
      <c r="AB50" s="64">
        <f t="shared" ca="1" si="31"/>
        <v>200343.62009905081</v>
      </c>
      <c r="AC50" s="51"/>
      <c r="AD50" s="51">
        <f t="shared" si="0"/>
        <v>-31362.028148061861</v>
      </c>
      <c r="AE50" s="64">
        <f t="shared" si="12"/>
        <v>177829.80282658988</v>
      </c>
      <c r="AF50" s="64">
        <f t="shared" si="13"/>
        <v>43257.43637974724</v>
      </c>
      <c r="AG50" s="51">
        <f t="shared" si="1"/>
        <v>0</v>
      </c>
      <c r="AH50" s="64">
        <f t="shared" ca="1" si="14"/>
        <v>0</v>
      </c>
      <c r="AI50" s="64">
        <f t="shared" ca="1" si="32"/>
        <v>189725.21105827525</v>
      </c>
      <c r="AJ50" s="57"/>
      <c r="AK50" s="51">
        <f ca="1">SUM(AD50:AD$55,AG50:AG$55)/D50+SUM(AE51:AF$56,AH51:AH$55)/D50</f>
        <v>948987.29259331303</v>
      </c>
      <c r="AL50" s="51">
        <f>SUM(AE51:$AF$56)*$F$14/D50</f>
        <v>49105.228449182272</v>
      </c>
      <c r="AM50" s="19"/>
      <c r="AN50" s="51">
        <f ca="1">-SUM(AD50:$AD$56,AH50:$AH$56)/D50</f>
        <v>33117.276390332358</v>
      </c>
      <c r="AO50" s="51">
        <f ca="1">-SUM(W50:$W$56,AA50:$AA$56)</f>
        <v>33117.276390332358</v>
      </c>
      <c r="AP50" s="19"/>
      <c r="AQ50" s="19"/>
      <c r="AR50" s="19"/>
      <c r="AS50" s="19"/>
    </row>
    <row r="51" spans="1:45" outlineLevel="1" x14ac:dyDescent="0.55000000000000004">
      <c r="A51" s="9"/>
      <c r="B51" s="1" t="s">
        <v>23</v>
      </c>
      <c r="C51" s="3">
        <v>12</v>
      </c>
      <c r="D51" s="87">
        <f t="shared" si="2"/>
        <v>0.94232233454704384</v>
      </c>
      <c r="E51" s="4"/>
      <c r="F51" s="84">
        <f t="shared" si="22"/>
        <v>0.51200000000000012</v>
      </c>
      <c r="G51" s="84">
        <f t="shared" si="23"/>
        <v>0.52668704344078443</v>
      </c>
      <c r="H51" s="84">
        <f t="shared" si="24"/>
        <v>0.48246903528808655</v>
      </c>
      <c r="I51" s="4"/>
      <c r="J51" s="98">
        <v>1</v>
      </c>
      <c r="K51" s="94">
        <f t="shared" si="25"/>
        <v>6.25E-2</v>
      </c>
      <c r="L51" s="47">
        <f t="shared" si="26"/>
        <v>0.52668704344078443</v>
      </c>
      <c r="M51" s="47">
        <f t="shared" si="27"/>
        <v>0.4963089643508003</v>
      </c>
      <c r="N51" s="4"/>
      <c r="O51" s="98">
        <v>1</v>
      </c>
      <c r="P51" s="94">
        <f t="shared" si="28"/>
        <v>6.25E-2</v>
      </c>
      <c r="Q51" s="47">
        <f t="shared" si="29"/>
        <v>0.52668704344078443</v>
      </c>
      <c r="R51" s="47">
        <f t="shared" si="30"/>
        <v>0.4963089643508003</v>
      </c>
      <c r="S51" s="51"/>
      <c r="T51" s="138">
        <v>6.7969588236102014E-3</v>
      </c>
      <c r="U51" s="136">
        <f t="shared" si="6"/>
        <v>6.7969588236102014E-3</v>
      </c>
      <c r="W51" s="63">
        <f t="shared" si="7"/>
        <v>0</v>
      </c>
      <c r="X51" s="63">
        <f t="shared" si="8"/>
        <v>178036.01280000003</v>
      </c>
      <c r="Y51" s="63">
        <f t="shared" si="9"/>
        <v>43200.000000000007</v>
      </c>
      <c r="Z51" s="63">
        <v>0</v>
      </c>
      <c r="AA51" s="63">
        <f t="shared" ca="1" si="10"/>
        <v>0</v>
      </c>
      <c r="AB51" s="64">
        <f t="shared" ca="1" si="31"/>
        <v>221236.01280000003</v>
      </c>
      <c r="AC51" s="51"/>
      <c r="AD51" s="51">
        <f t="shared" si="0"/>
        <v>0</v>
      </c>
      <c r="AE51" s="64">
        <f t="shared" si="12"/>
        <v>167767.31121514342</v>
      </c>
      <c r="AF51" s="64">
        <f t="shared" si="13"/>
        <v>40708.324852432299</v>
      </c>
      <c r="AG51" s="51">
        <f t="shared" si="1"/>
        <v>0</v>
      </c>
      <c r="AH51" s="64">
        <f t="shared" ca="1" si="14"/>
        <v>0</v>
      </c>
      <c r="AI51" s="64">
        <f t="shared" ca="1" si="32"/>
        <v>208475.63606757572</v>
      </c>
      <c r="AJ51" s="57"/>
      <c r="AK51" s="51">
        <f ca="1">SUM(AD51:AD$55,AG51:AG$55)/D51+SUM(AE52:AF$56,AH52:AH$55)/D51</f>
        <v>765742.67395724193</v>
      </c>
      <c r="AL51" s="51">
        <f>SUM(AE52:$AF$56)*$F$14/D51</f>
        <v>38287.133697862104</v>
      </c>
      <c r="AM51" s="19"/>
      <c r="AN51" s="51">
        <f ca="1">-SUM(AD51:$AD$56,AH51:$AH$56)/D51</f>
        <v>0</v>
      </c>
      <c r="AO51" s="51">
        <f ca="1">-SUM(W51:$W$56,AA51:$AA$56)</f>
        <v>0</v>
      </c>
      <c r="AP51" s="19"/>
      <c r="AQ51" s="19"/>
      <c r="AR51" s="19"/>
      <c r="AS51" s="19"/>
    </row>
    <row r="52" spans="1:45" outlineLevel="1" x14ac:dyDescent="0.55000000000000004">
      <c r="A52" s="9"/>
      <c r="B52" s="1" t="s">
        <v>24</v>
      </c>
      <c r="C52" s="3">
        <v>13</v>
      </c>
      <c r="D52" s="87">
        <f t="shared" si="2"/>
        <v>0.93766874870887007</v>
      </c>
      <c r="E52" s="4"/>
      <c r="F52" s="84">
        <f t="shared" si="22"/>
        <v>0.48421970380962609</v>
      </c>
      <c r="G52" s="84">
        <f t="shared" si="23"/>
        <v>0.49810985190481311</v>
      </c>
      <c r="H52" s="84">
        <f t="shared" si="24"/>
        <v>0.45403768377135179</v>
      </c>
      <c r="I52" s="4"/>
      <c r="J52" s="98">
        <v>1</v>
      </c>
      <c r="K52" s="94">
        <f t="shared" si="25"/>
        <v>6.25E-2</v>
      </c>
      <c r="L52" s="47">
        <f t="shared" si="26"/>
        <v>0.49810985190481311</v>
      </c>
      <c r="M52" s="47">
        <f t="shared" si="27"/>
        <v>0.46706204155514669</v>
      </c>
      <c r="N52" s="4"/>
      <c r="O52" s="98">
        <v>1</v>
      </c>
      <c r="P52" s="94">
        <f t="shared" si="28"/>
        <v>6.25E-2</v>
      </c>
      <c r="Q52" s="47">
        <f t="shared" si="29"/>
        <v>0.49810985190481311</v>
      </c>
      <c r="R52" s="47">
        <f t="shared" si="30"/>
        <v>0.46706204155514669</v>
      </c>
      <c r="S52" s="51"/>
      <c r="T52" s="138">
        <v>0</v>
      </c>
      <c r="U52" s="136">
        <f t="shared" si="6"/>
        <v>0</v>
      </c>
      <c r="W52" s="63">
        <f t="shared" si="7"/>
        <v>0</v>
      </c>
      <c r="X52" s="63">
        <f t="shared" si="8"/>
        <v>168795.43598861736</v>
      </c>
      <c r="Y52" s="63">
        <f t="shared" si="9"/>
        <v>40856.037508937203</v>
      </c>
      <c r="Z52" s="63">
        <v>0</v>
      </c>
      <c r="AA52" s="63">
        <f t="shared" ca="1" si="10"/>
        <v>0</v>
      </c>
      <c r="AB52" s="64">
        <f t="shared" ca="1" si="31"/>
        <v>209651.47349755457</v>
      </c>
      <c r="AC52" s="51"/>
      <c r="AD52" s="51">
        <f t="shared" si="0"/>
        <v>0</v>
      </c>
      <c r="AE52" s="64">
        <f t="shared" si="12"/>
        <v>158274.20525121503</v>
      </c>
      <c r="AF52" s="64">
        <f t="shared" si="13"/>
        <v>38309.429568207808</v>
      </c>
      <c r="AG52" s="51">
        <f t="shared" si="1"/>
        <v>0</v>
      </c>
      <c r="AH52" s="64">
        <f t="shared" ca="1" si="14"/>
        <v>0</v>
      </c>
      <c r="AI52" s="64">
        <f t="shared" ca="1" si="32"/>
        <v>196583.63481942285</v>
      </c>
      <c r="AJ52" s="57"/>
      <c r="AK52" s="51">
        <f ca="1">SUM(AD52:AD$55,AG52:AG$55)/D52+SUM(AE53:AF$56,AH53:AH$55)/D52</f>
        <v>559891.52895321941</v>
      </c>
      <c r="AL52" s="51">
        <f>SUM(AE53:$AF$56)*$F$14/D52</f>
        <v>27994.576447660969</v>
      </c>
      <c r="AM52" s="19"/>
      <c r="AN52" s="51">
        <f ca="1">-SUM(AD52:$AD$56,AH52:$AH$56)/D52</f>
        <v>0</v>
      </c>
      <c r="AO52" s="51">
        <f ca="1">-SUM(W52:$W$56,AA52:$AA$56)</f>
        <v>0</v>
      </c>
      <c r="AP52" s="19"/>
      <c r="AQ52" s="19"/>
      <c r="AR52" s="19"/>
      <c r="AS52" s="19"/>
    </row>
    <row r="53" spans="1:45" outlineLevel="1" x14ac:dyDescent="0.55000000000000004">
      <c r="A53" s="9"/>
      <c r="B53" s="1" t="s">
        <v>25</v>
      </c>
      <c r="C53" s="3">
        <v>14</v>
      </c>
      <c r="D53" s="87">
        <f t="shared" si="2"/>
        <v>0.93303814424379905</v>
      </c>
      <c r="E53" s="4"/>
      <c r="F53" s="84">
        <f t="shared" si="22"/>
        <v>0.457946721791957</v>
      </c>
      <c r="G53" s="84">
        <f t="shared" si="23"/>
        <v>0.47108321280079157</v>
      </c>
      <c r="H53" s="84">
        <f t="shared" si="24"/>
        <v>0.42728175946329888</v>
      </c>
      <c r="I53" s="4"/>
      <c r="J53" s="98">
        <v>1</v>
      </c>
      <c r="K53" s="94">
        <f t="shared" si="25"/>
        <v>6.25E-2</v>
      </c>
      <c r="L53" s="47">
        <f t="shared" si="26"/>
        <v>0.47108321280079157</v>
      </c>
      <c r="M53" s="47">
        <f t="shared" si="27"/>
        <v>0.43953860665605726</v>
      </c>
      <c r="N53" s="4"/>
      <c r="O53" s="98">
        <v>1</v>
      </c>
      <c r="P53" s="94">
        <f t="shared" si="28"/>
        <v>6.25E-2</v>
      </c>
      <c r="Q53" s="47">
        <f t="shared" si="29"/>
        <v>0.47108321280079157</v>
      </c>
      <c r="R53" s="47">
        <f t="shared" si="30"/>
        <v>0.43953860665605726</v>
      </c>
      <c r="S53" s="51"/>
      <c r="T53" s="138">
        <v>0</v>
      </c>
      <c r="U53" s="136">
        <f t="shared" si="6"/>
        <v>0</v>
      </c>
      <c r="W53" s="63">
        <f t="shared" si="7"/>
        <v>0</v>
      </c>
      <c r="X53" s="63">
        <f t="shared" si="8"/>
        <v>160034.47146726606</v>
      </c>
      <c r="Y53" s="63">
        <f t="shared" si="9"/>
        <v>38639.254651196374</v>
      </c>
      <c r="Z53" s="63">
        <v>0</v>
      </c>
      <c r="AA53" s="63">
        <f t="shared" ca="1" si="10"/>
        <v>0</v>
      </c>
      <c r="AB53" s="64">
        <f t="shared" ca="1" si="31"/>
        <v>198673.72611846245</v>
      </c>
      <c r="AC53" s="51"/>
      <c r="AD53" s="51">
        <f t="shared" si="0"/>
        <v>0</v>
      </c>
      <c r="AE53" s="64">
        <f t="shared" si="12"/>
        <v>149318.26627285514</v>
      </c>
      <c r="AF53" s="64">
        <f t="shared" si="13"/>
        <v>36051.898454715847</v>
      </c>
      <c r="AG53" s="51">
        <f t="shared" si="1"/>
        <v>0</v>
      </c>
      <c r="AH53" s="64">
        <f t="shared" ca="1" si="14"/>
        <v>0</v>
      </c>
      <c r="AI53" s="64">
        <f t="shared" ca="1" si="32"/>
        <v>185370.16472757098</v>
      </c>
      <c r="AJ53" s="57"/>
      <c r="AK53" s="51">
        <f ca="1">SUM(AD53:AD$55,AG53:AG$55)/D53+SUM(AE54:AF$56,AH54:AH$55)/D53</f>
        <v>363996.50618136814</v>
      </c>
      <c r="AL53" s="51">
        <f>SUM(AE54:$AF$56)*$F$14/D53</f>
        <v>18199.825309068405</v>
      </c>
      <c r="AM53" s="19"/>
      <c r="AN53" s="51">
        <f ca="1">-SUM(AD53:$AD$56,AH53:$AH$56)/D53</f>
        <v>0</v>
      </c>
      <c r="AO53" s="51">
        <f ca="1">-SUM(W53:$W$56,AA53:$AA$56)</f>
        <v>0</v>
      </c>
      <c r="AP53" s="19"/>
      <c r="AQ53" s="19"/>
      <c r="AR53" s="19"/>
      <c r="AS53" s="19"/>
    </row>
    <row r="54" spans="1:45" outlineLevel="1" x14ac:dyDescent="0.55000000000000004">
      <c r="A54" s="9"/>
      <c r="B54" s="1" t="s">
        <v>26</v>
      </c>
      <c r="C54" s="3">
        <v>15</v>
      </c>
      <c r="D54" s="87">
        <f t="shared" si="2"/>
        <v>0.92843040766010021</v>
      </c>
      <c r="E54" s="4"/>
      <c r="F54" s="84">
        <f t="shared" si="22"/>
        <v>0.43309926950525512</v>
      </c>
      <c r="G54" s="84">
        <f t="shared" si="23"/>
        <v>0.44552299564860609</v>
      </c>
      <c r="H54" s="84">
        <f t="shared" si="24"/>
        <v>0.4021025313440556</v>
      </c>
      <c r="I54" s="4"/>
      <c r="J54" s="98">
        <v>1</v>
      </c>
      <c r="K54" s="94">
        <f t="shared" si="25"/>
        <v>6.25E-2</v>
      </c>
      <c r="L54" s="47">
        <f t="shared" si="26"/>
        <v>0.44552299564860609</v>
      </c>
      <c r="M54" s="47">
        <f t="shared" si="27"/>
        <v>0.41363709647198438</v>
      </c>
      <c r="N54" s="4"/>
      <c r="O54" s="98">
        <v>1</v>
      </c>
      <c r="P54" s="94">
        <f t="shared" si="28"/>
        <v>6.25E-2</v>
      </c>
      <c r="Q54" s="47">
        <f t="shared" si="29"/>
        <v>0.44552299564860609</v>
      </c>
      <c r="R54" s="47">
        <f t="shared" si="30"/>
        <v>0.41363709647198438</v>
      </c>
      <c r="S54" s="51"/>
      <c r="T54" s="138">
        <v>0</v>
      </c>
      <c r="U54" s="136">
        <f t="shared" si="6"/>
        <v>0</v>
      </c>
      <c r="W54" s="63">
        <f t="shared" si="7"/>
        <v>0</v>
      </c>
      <c r="X54" s="63">
        <f t="shared" si="8"/>
        <v>151728.22599027061</v>
      </c>
      <c r="Y54" s="63">
        <f t="shared" si="9"/>
        <v>36542.750864505899</v>
      </c>
      <c r="Z54" s="63">
        <v>0</v>
      </c>
      <c r="AA54" s="63">
        <f t="shared" ca="1" si="10"/>
        <v>0</v>
      </c>
      <c r="AB54" s="64">
        <f t="shared" ca="1" si="31"/>
        <v>188270.9768547765</v>
      </c>
      <c r="AC54" s="51"/>
      <c r="AD54" s="51">
        <f t="shared" si="0"/>
        <v>0</v>
      </c>
      <c r="AE54" s="64">
        <f t="shared" si="12"/>
        <v>140869.09870969076</v>
      </c>
      <c r="AF54" s="64">
        <f t="shared" si="13"/>
        <v>33927.401082154691</v>
      </c>
      <c r="AG54" s="51">
        <f t="shared" si="1"/>
        <v>0</v>
      </c>
      <c r="AH54" s="64">
        <f t="shared" ca="1" si="14"/>
        <v>0</v>
      </c>
      <c r="AI54" s="64">
        <f t="shared" ca="1" si="32"/>
        <v>174796.49979184545</v>
      </c>
      <c r="AJ54" s="57"/>
      <c r="AK54" s="51">
        <f ca="1">SUM(AD54:AD$55,AG54:AG$55)/D54+SUM(AE55:AF$56,AH55:AH$55)/D54</f>
        <v>177532.01907965503</v>
      </c>
      <c r="AL54" s="51">
        <f>SUM(AE55:$AF$56)*$F$14/D54</f>
        <v>8876.6009539827519</v>
      </c>
      <c r="AM54" s="19"/>
      <c r="AN54" s="51">
        <f ca="1">-SUM(AD54:$AD$56,AH54:$AH$56)/D54</f>
        <v>0</v>
      </c>
      <c r="AO54" s="51">
        <f ca="1">-SUM(W54:$W$56,AA54:$AA$56)</f>
        <v>0</v>
      </c>
      <c r="AP54" s="19"/>
      <c r="AQ54" s="19"/>
      <c r="AR54" s="19"/>
      <c r="AS54" s="19"/>
    </row>
    <row r="55" spans="1:45" outlineLevel="1" x14ac:dyDescent="0.55000000000000004">
      <c r="A55" s="9"/>
      <c r="B55" s="1" t="s">
        <v>27</v>
      </c>
      <c r="C55" s="3">
        <v>16</v>
      </c>
      <c r="D55" s="87">
        <f t="shared" si="2"/>
        <v>0.92384542602651332</v>
      </c>
      <c r="E55" s="4"/>
      <c r="F55" s="84">
        <f t="shared" si="22"/>
        <v>0.40960000000000019</v>
      </c>
      <c r="G55" s="84">
        <f t="shared" si="23"/>
        <v>0.42134963475262766</v>
      </c>
      <c r="H55" s="84">
        <f t="shared" si="24"/>
        <v>0.37840708650046001</v>
      </c>
      <c r="I55" s="4"/>
      <c r="J55" s="98">
        <v>1</v>
      </c>
      <c r="K55" s="94">
        <f t="shared" si="25"/>
        <v>6.25E-2</v>
      </c>
      <c r="L55" s="47">
        <f t="shared" si="26"/>
        <v>0.42134963475262766</v>
      </c>
      <c r="M55" s="47">
        <f t="shared" si="27"/>
        <v>0.38926193282415705</v>
      </c>
      <c r="N55" s="4"/>
      <c r="O55" s="98">
        <v>1</v>
      </c>
      <c r="P55" s="94">
        <f t="shared" si="28"/>
        <v>6.25E-2</v>
      </c>
      <c r="Q55" s="47">
        <f t="shared" si="29"/>
        <v>0.42134963475262766</v>
      </c>
      <c r="R55" s="47">
        <f t="shared" si="30"/>
        <v>0.38926193282415705</v>
      </c>
      <c r="S55" s="51"/>
      <c r="T55" s="138">
        <v>0</v>
      </c>
      <c r="U55" s="136">
        <f t="shared" si="6"/>
        <v>0</v>
      </c>
      <c r="W55" s="63">
        <f t="shared" si="7"/>
        <v>0</v>
      </c>
      <c r="X55" s="63">
        <f t="shared" si="8"/>
        <v>143853.09834240007</v>
      </c>
      <c r="Y55" s="63">
        <f t="shared" si="9"/>
        <v>34560.000000000015</v>
      </c>
      <c r="Z55" s="63">
        <v>0</v>
      </c>
      <c r="AA55" s="63">
        <f t="shared" ca="1" si="10"/>
        <v>0</v>
      </c>
      <c r="AB55" s="64">
        <f t="shared" ca="1" si="31"/>
        <v>178413.0983424001</v>
      </c>
      <c r="AC55" s="51"/>
      <c r="AD55" s="51">
        <f t="shared" si="0"/>
        <v>0</v>
      </c>
      <c r="AE55" s="64">
        <f t="shared" si="12"/>
        <v>132898.02692336851</v>
      </c>
      <c r="AF55" s="64">
        <f t="shared" si="13"/>
        <v>31928.097923476314</v>
      </c>
      <c r="AG55" s="51">
        <f t="shared" si="1"/>
        <v>0</v>
      </c>
      <c r="AH55" s="64">
        <f t="shared" ca="1" si="14"/>
        <v>0</v>
      </c>
      <c r="AI55" s="64">
        <f t="shared" ca="1" si="32"/>
        <v>164826.12484684482</v>
      </c>
      <c r="AJ55" s="57"/>
      <c r="AK55" s="51">
        <f ca="1">SUM(AD55:AD$55,AG55:AG$55)/D55+SUM(AE56:AF$56,AH$55:AH56)/D55</f>
        <v>0</v>
      </c>
      <c r="AL55" s="51">
        <f>SUM(AE56:$AF$56)*$F$14/D55</f>
        <v>0</v>
      </c>
      <c r="AM55" s="19"/>
      <c r="AN55" s="51">
        <f ca="1">-SUM(AD55:$AD$56,AH55:$AH$56)/D55</f>
        <v>0</v>
      </c>
      <c r="AO55" s="51">
        <f ca="1">-SUM(W55:$W$56,AA55:$AA$56)</f>
        <v>0</v>
      </c>
      <c r="AP55" s="19"/>
      <c r="AQ55" s="19"/>
      <c r="AR55" s="19"/>
      <c r="AS55" s="19"/>
    </row>
    <row r="56" spans="1:45" outlineLevel="1" x14ac:dyDescent="0.55000000000000004">
      <c r="B56" s="8"/>
      <c r="C56" s="6"/>
      <c r="D56" s="7"/>
      <c r="E56" s="2"/>
      <c r="F56" s="85"/>
      <c r="G56" s="85"/>
      <c r="H56" s="79"/>
      <c r="I56" s="2"/>
      <c r="J56" s="6"/>
      <c r="K56" s="6"/>
      <c r="L56" s="71"/>
      <c r="M56" s="90"/>
      <c r="N56" s="2"/>
      <c r="O56" s="12"/>
      <c r="P56" s="12"/>
      <c r="Q56" s="50"/>
      <c r="R56" s="90"/>
      <c r="S56" s="55"/>
      <c r="T56" s="137"/>
      <c r="U56" s="137"/>
      <c r="W56" s="66"/>
      <c r="X56" s="66"/>
      <c r="Y56" s="66"/>
      <c r="Z56" s="66"/>
      <c r="AA56" s="66"/>
      <c r="AB56" s="66"/>
      <c r="AC56" s="55"/>
      <c r="AD56" s="67"/>
      <c r="AE56" s="68"/>
      <c r="AF56" s="68"/>
      <c r="AG56" s="67"/>
      <c r="AH56" s="67"/>
      <c r="AI56" s="68"/>
      <c r="AJ56" s="57"/>
      <c r="AK56" s="67"/>
      <c r="AL56" s="67"/>
      <c r="AM56" s="19"/>
      <c r="AN56" s="122"/>
      <c r="AO56" s="122"/>
      <c r="AP56" s="19"/>
      <c r="AQ56" s="19"/>
      <c r="AR56" s="19"/>
      <c r="AS56" s="19"/>
    </row>
    <row r="57" spans="1:45" outlineLevel="1" x14ac:dyDescent="0.55000000000000004">
      <c r="A57" s="9"/>
      <c r="B57" s="4"/>
      <c r="C57" s="4"/>
      <c r="D57" s="4"/>
      <c r="E57" s="4"/>
      <c r="F57" s="3"/>
      <c r="G57" s="3"/>
      <c r="H57" s="4"/>
      <c r="I57" s="4"/>
      <c r="J57" s="4"/>
      <c r="K57" s="4"/>
      <c r="L57" s="51"/>
      <c r="M57" s="51"/>
      <c r="N57" s="4"/>
      <c r="O57" s="4"/>
      <c r="P57" s="4"/>
      <c r="Q57" s="51"/>
      <c r="R57" s="51"/>
      <c r="S57" s="51"/>
      <c r="T57" s="4"/>
      <c r="U57" s="4"/>
      <c r="W57" s="51"/>
      <c r="X57" s="51"/>
      <c r="Y57" s="51"/>
      <c r="Z57" s="51"/>
      <c r="AA57" s="51"/>
      <c r="AB57" s="51"/>
      <c r="AC57" s="51"/>
      <c r="AD57" s="51"/>
      <c r="AE57" s="51"/>
      <c r="AF57" s="51"/>
      <c r="AG57" s="51"/>
      <c r="AH57" s="51"/>
      <c r="AI57" s="51"/>
      <c r="AJ57" s="57"/>
      <c r="AK57" s="51"/>
      <c r="AL57" s="51"/>
      <c r="AM57" s="19"/>
      <c r="AN57" s="55"/>
      <c r="AO57" s="55"/>
      <c r="AP57" s="19"/>
      <c r="AQ57" s="19"/>
      <c r="AR57" s="19"/>
      <c r="AS57" s="19"/>
    </row>
    <row r="58" spans="1:45" outlineLevel="1" x14ac:dyDescent="0.55000000000000004">
      <c r="A58" s="9"/>
      <c r="B58" s="24"/>
      <c r="C58" s="24"/>
      <c r="D58" s="25"/>
      <c r="E58" s="4"/>
      <c r="F58" s="26"/>
      <c r="G58" s="26"/>
      <c r="H58" s="26"/>
      <c r="I58" s="4"/>
      <c r="J58" s="80">
        <f>SUM(J40:J55)</f>
        <v>16</v>
      </c>
      <c r="K58" s="95">
        <f>SUM(K40:K55)</f>
        <v>1</v>
      </c>
      <c r="L58" s="81">
        <f>SUM(L40:L55)</f>
        <v>10.586066273350365</v>
      </c>
      <c r="M58" s="81">
        <f>SUM(M40:M55)</f>
        <v>10.211349081468139</v>
      </c>
      <c r="N58" s="4"/>
      <c r="O58" s="80">
        <f>SUM(O40:O55)</f>
        <v>16</v>
      </c>
      <c r="P58" s="95">
        <f>SUM(P40:P55)</f>
        <v>1</v>
      </c>
      <c r="Q58" s="81">
        <f>SUM(Q40:Q55)</f>
        <v>10.586066273350365</v>
      </c>
      <c r="R58" s="81">
        <f>SUM(R40:R55)</f>
        <v>10.211349081468139</v>
      </c>
      <c r="S58" s="52"/>
      <c r="T58" s="80">
        <f>SUM(T40:T55)</f>
        <v>1</v>
      </c>
      <c r="U58" s="95">
        <f>SUM(U40:U55)</f>
        <v>1</v>
      </c>
      <c r="W58" s="52">
        <f t="shared" ref="W58:AB58" si="33">SUM(W39:W55)</f>
        <v>-7940519.991330306</v>
      </c>
      <c r="X58" s="52">
        <f t="shared" si="33"/>
        <v>3537302.255079526</v>
      </c>
      <c r="Y58" s="52">
        <f t="shared" si="33"/>
        <v>868291.84181393683</v>
      </c>
      <c r="Z58" s="52">
        <f t="shared" si="33"/>
        <v>-900000</v>
      </c>
      <c r="AA58" s="52">
        <f t="shared" ca="1" si="33"/>
        <v>0</v>
      </c>
      <c r="AB58" s="52">
        <f t="shared" ca="1" si="33"/>
        <v>-4434925.8944368418</v>
      </c>
      <c r="AC58" s="51"/>
      <c r="AD58" s="52">
        <f t="shared" ref="AD58:AI58" si="34">SUM(AD39:AD55)</f>
        <v>-7857409.8915610677</v>
      </c>
      <c r="AE58" s="52">
        <f t="shared" si="34"/>
        <v>3411234.9324428779</v>
      </c>
      <c r="AF58" s="52">
        <f t="shared" si="34"/>
        <v>837556.73471208138</v>
      </c>
      <c r="AG58" s="52">
        <f t="shared" si="34"/>
        <v>-900000</v>
      </c>
      <c r="AH58" s="52">
        <f t="shared" ca="1" si="34"/>
        <v>0</v>
      </c>
      <c r="AI58" s="52">
        <f t="shared" ca="1" si="34"/>
        <v>-4508618.2244061083</v>
      </c>
      <c r="AJ58" s="52"/>
      <c r="AK58" s="52"/>
      <c r="AL58" s="52"/>
      <c r="AM58" s="19"/>
      <c r="AN58" s="129"/>
      <c r="AO58" s="51"/>
    </row>
    <row r="59" spans="1:45" ht="15.3" x14ac:dyDescent="0.55000000000000004">
      <c r="A59" s="9"/>
      <c r="B59" s="24"/>
      <c r="C59" s="24"/>
      <c r="D59" s="4"/>
      <c r="E59" s="4"/>
      <c r="F59" s="4"/>
      <c r="G59" s="4"/>
      <c r="H59" s="4"/>
      <c r="I59" s="4"/>
      <c r="J59" s="24"/>
      <c r="K59" s="24"/>
      <c r="L59" s="52"/>
      <c r="M59" s="52"/>
      <c r="N59" s="4"/>
      <c r="O59" s="24"/>
      <c r="P59" s="24"/>
      <c r="Q59" s="52"/>
      <c r="R59" s="52"/>
      <c r="S59" s="51"/>
      <c r="W59" s="52"/>
      <c r="X59" s="72"/>
      <c r="Y59" s="72"/>
      <c r="Z59" s="52"/>
      <c r="AA59" s="52"/>
      <c r="AB59" s="52"/>
      <c r="AC59" s="51"/>
      <c r="AD59" s="52"/>
      <c r="AE59" s="73"/>
      <c r="AF59" s="73"/>
      <c r="AG59" s="52"/>
      <c r="AH59" s="52"/>
      <c r="AI59" s="52"/>
      <c r="AJ59" s="57"/>
      <c r="AK59" s="52"/>
      <c r="AL59" s="52"/>
      <c r="AM59" s="52"/>
      <c r="AN59" s="52"/>
      <c r="AO59" s="51"/>
    </row>
    <row r="60" spans="1:45" ht="15.3" x14ac:dyDescent="0.55000000000000004">
      <c r="A60" s="9"/>
      <c r="B60" s="24"/>
      <c r="C60" s="24"/>
      <c r="D60" s="4"/>
      <c r="E60" s="4"/>
      <c r="F60" s="4"/>
      <c r="G60" s="4"/>
      <c r="H60" s="4"/>
      <c r="I60" s="4"/>
      <c r="J60" s="24"/>
      <c r="K60" s="24"/>
      <c r="L60" s="52"/>
      <c r="M60" s="52"/>
      <c r="N60" s="4"/>
      <c r="O60" s="24"/>
      <c r="P60" s="24"/>
      <c r="Q60" s="52"/>
      <c r="R60" s="52"/>
      <c r="S60" s="51"/>
      <c r="W60" s="52"/>
      <c r="X60" s="72"/>
      <c r="Y60" s="72"/>
      <c r="Z60" s="52"/>
      <c r="AA60" s="52"/>
      <c r="AB60" s="52"/>
      <c r="AC60" s="51"/>
      <c r="AD60" s="52"/>
      <c r="AE60" s="73"/>
      <c r="AF60" s="73"/>
      <c r="AG60" s="52"/>
      <c r="AH60" s="52"/>
      <c r="AI60" s="52"/>
      <c r="AJ60" s="57"/>
      <c r="AK60" s="52"/>
      <c r="AL60" s="52"/>
      <c r="AM60" s="52"/>
      <c r="AN60" s="52"/>
      <c r="AO60" s="51"/>
    </row>
    <row r="61" spans="1:45" ht="18.3" x14ac:dyDescent="0.55000000000000004">
      <c r="A61" s="2"/>
      <c r="B61" s="144" t="s">
        <v>172</v>
      </c>
      <c r="C61" s="108"/>
      <c r="D61" s="109"/>
      <c r="H61" s="106"/>
      <c r="J61" s="2"/>
      <c r="K61" s="2"/>
      <c r="N61" s="2"/>
      <c r="O61" s="2"/>
      <c r="P61" s="2"/>
      <c r="Q61" s="2"/>
      <c r="S61" s="2"/>
      <c r="W61" s="55"/>
      <c r="X61" s="55"/>
      <c r="Y61" s="55"/>
      <c r="Z61" s="55"/>
      <c r="AA61" s="55"/>
      <c r="AB61" s="55"/>
      <c r="AC61" s="2"/>
      <c r="AD61" s="22"/>
      <c r="AE61" s="2"/>
      <c r="AF61" s="2"/>
      <c r="AG61" s="2"/>
      <c r="AH61" s="2"/>
      <c r="AI61" s="2"/>
      <c r="AJ61" s="21"/>
      <c r="AK61" s="2"/>
      <c r="AL61" s="2"/>
      <c r="AM61" s="2"/>
      <c r="AN61" s="55"/>
      <c r="AO61" s="55"/>
    </row>
    <row r="62" spans="1:45" outlineLevel="1" x14ac:dyDescent="0.55000000000000004">
      <c r="D62" s="2"/>
      <c r="E62" s="2"/>
      <c r="F62" s="2"/>
      <c r="G62" s="2"/>
      <c r="H62" s="2"/>
      <c r="I62" s="2"/>
      <c r="J62" s="2"/>
      <c r="K62" s="2"/>
      <c r="L62" s="2"/>
      <c r="M62" s="2"/>
      <c r="N62" s="2"/>
      <c r="O62" s="2"/>
      <c r="P62" s="2"/>
      <c r="Q62" s="2"/>
      <c r="R62" s="2"/>
      <c r="S62" s="2"/>
      <c r="W62" s="55"/>
      <c r="X62" s="55"/>
      <c r="Y62" s="55"/>
      <c r="Z62" s="55"/>
      <c r="AA62" s="114"/>
      <c r="AB62" s="115"/>
      <c r="AC62" s="2"/>
      <c r="AD62" s="2"/>
      <c r="AE62" s="2"/>
      <c r="AF62" s="2"/>
      <c r="AG62" s="2"/>
      <c r="AH62" s="2"/>
      <c r="AI62" s="2"/>
      <c r="AJ62" s="21"/>
      <c r="AK62" s="2"/>
      <c r="AL62" s="2"/>
      <c r="AM62" s="2"/>
      <c r="AN62" s="55"/>
      <c r="AO62" s="55"/>
    </row>
    <row r="63" spans="1:45" ht="19.899999999999999" customHeight="1" outlineLevel="1" x14ac:dyDescent="0.55000000000000004">
      <c r="B63" s="173" t="s">
        <v>68</v>
      </c>
      <c r="C63" s="173"/>
      <c r="D63" s="173"/>
      <c r="E63" s="2"/>
      <c r="F63" s="174" t="s">
        <v>129</v>
      </c>
      <c r="G63" s="174"/>
      <c r="H63" s="174"/>
      <c r="I63" s="2"/>
      <c r="J63" s="174" t="s">
        <v>70</v>
      </c>
      <c r="K63" s="174"/>
      <c r="L63" s="174"/>
      <c r="M63" s="174"/>
      <c r="N63" s="2"/>
      <c r="O63" s="174" t="s">
        <v>39</v>
      </c>
      <c r="P63" s="174"/>
      <c r="Q63" s="174"/>
      <c r="R63" s="174"/>
      <c r="S63" s="2"/>
      <c r="T63" s="170" t="s">
        <v>474</v>
      </c>
      <c r="U63" s="170"/>
      <c r="W63" s="172" t="s">
        <v>32</v>
      </c>
      <c r="X63" s="172"/>
      <c r="Y63" s="172"/>
      <c r="Z63" s="172"/>
      <c r="AA63" s="172"/>
      <c r="AB63" s="172"/>
      <c r="AC63" s="2"/>
      <c r="AD63" s="171" t="s">
        <v>33</v>
      </c>
      <c r="AE63" s="171"/>
      <c r="AF63" s="171"/>
      <c r="AG63" s="171"/>
      <c r="AH63" s="171"/>
      <c r="AI63" s="171"/>
      <c r="AJ63" s="21"/>
      <c r="AK63" s="171" t="s">
        <v>154</v>
      </c>
      <c r="AL63" s="171"/>
      <c r="AM63" s="51"/>
      <c r="AN63" s="172" t="s">
        <v>340</v>
      </c>
      <c r="AO63" s="172"/>
      <c r="AQ63" s="173" t="s">
        <v>147</v>
      </c>
      <c r="AR63" s="173"/>
      <c r="AS63" s="173"/>
    </row>
    <row r="64" spans="1:45" ht="30.6" customHeight="1" outlineLevel="1" x14ac:dyDescent="0.55000000000000004">
      <c r="B64" s="146" t="s">
        <v>149</v>
      </c>
      <c r="C64" s="146" t="s">
        <v>10</v>
      </c>
      <c r="D64" s="78" t="s">
        <v>126</v>
      </c>
      <c r="E64" s="13"/>
      <c r="F64" s="82" t="s">
        <v>129</v>
      </c>
      <c r="G64" s="82" t="s">
        <v>158</v>
      </c>
      <c r="H64" s="134" t="s">
        <v>2</v>
      </c>
      <c r="I64" s="2"/>
      <c r="J64" s="88" t="s">
        <v>127</v>
      </c>
      <c r="K64" s="88" t="s">
        <v>37</v>
      </c>
      <c r="L64" s="48" t="s">
        <v>131</v>
      </c>
      <c r="M64" s="134" t="s">
        <v>2</v>
      </c>
      <c r="N64" s="13"/>
      <c r="O64" s="91" t="s">
        <v>128</v>
      </c>
      <c r="P64" s="91" t="s">
        <v>37</v>
      </c>
      <c r="Q64" s="92" t="s">
        <v>132</v>
      </c>
      <c r="R64" s="134" t="s">
        <v>2</v>
      </c>
      <c r="S64" s="55"/>
      <c r="T64" s="91" t="s">
        <v>159</v>
      </c>
      <c r="U64" s="91" t="s">
        <v>37</v>
      </c>
      <c r="W64" s="53" t="s">
        <v>12</v>
      </c>
      <c r="X64" s="53" t="s">
        <v>35</v>
      </c>
      <c r="Y64" s="53" t="s">
        <v>36</v>
      </c>
      <c r="Z64" s="53" t="s">
        <v>42</v>
      </c>
      <c r="AA64" s="56" t="s">
        <v>121</v>
      </c>
      <c r="AB64" s="53" t="s">
        <v>1</v>
      </c>
      <c r="AC64" s="55"/>
      <c r="AD64" s="53" t="s">
        <v>12</v>
      </c>
      <c r="AE64" s="53" t="s">
        <v>35</v>
      </c>
      <c r="AF64" s="53" t="s">
        <v>36</v>
      </c>
      <c r="AG64" s="56" t="s">
        <v>42</v>
      </c>
      <c r="AH64" s="56" t="s">
        <v>121</v>
      </c>
      <c r="AI64" s="53" t="s">
        <v>1</v>
      </c>
      <c r="AJ64" s="57"/>
      <c r="AK64" s="58" t="s">
        <v>3</v>
      </c>
      <c r="AL64" s="58" t="s">
        <v>0</v>
      </c>
      <c r="AM64" s="51"/>
      <c r="AN64" s="76" t="s">
        <v>46</v>
      </c>
      <c r="AO64" s="76" t="s">
        <v>150</v>
      </c>
      <c r="AQ64" s="58" t="s">
        <v>3</v>
      </c>
      <c r="AR64" s="58" t="s">
        <v>0</v>
      </c>
      <c r="AS64" s="58" t="s">
        <v>12</v>
      </c>
    </row>
    <row r="65" spans="1:45" s="19" customFormat="1" outlineLevel="1" x14ac:dyDescent="0.55000000000000004">
      <c r="B65" s="15" t="s">
        <v>211</v>
      </c>
      <c r="C65" s="15" t="s">
        <v>212</v>
      </c>
      <c r="D65" s="16" t="s">
        <v>213</v>
      </c>
      <c r="E65" s="20"/>
      <c r="F65" s="83" t="s">
        <v>214</v>
      </c>
      <c r="G65" s="83" t="s">
        <v>215</v>
      </c>
      <c r="H65" s="18" t="s">
        <v>216</v>
      </c>
      <c r="I65" s="23"/>
      <c r="J65" s="18" t="s">
        <v>217</v>
      </c>
      <c r="K65" s="18" t="s">
        <v>218</v>
      </c>
      <c r="L65" s="18" t="s">
        <v>219</v>
      </c>
      <c r="M65" s="17" t="s">
        <v>220</v>
      </c>
      <c r="N65" s="20"/>
      <c r="O65" s="17" t="s">
        <v>221</v>
      </c>
      <c r="P65" s="17" t="s">
        <v>222</v>
      </c>
      <c r="Q65" s="17" t="s">
        <v>223</v>
      </c>
      <c r="R65" s="143" t="s">
        <v>224</v>
      </c>
      <c r="S65" s="61"/>
      <c r="T65" s="17" t="s">
        <v>225</v>
      </c>
      <c r="U65" s="17" t="s">
        <v>226</v>
      </c>
      <c r="W65" s="60" t="s">
        <v>227</v>
      </c>
      <c r="X65" s="60" t="s">
        <v>228</v>
      </c>
      <c r="Y65" s="60" t="s">
        <v>229</v>
      </c>
      <c r="Z65" s="60" t="s">
        <v>230</v>
      </c>
      <c r="AA65" s="60" t="s">
        <v>231</v>
      </c>
      <c r="AB65" s="60" t="s">
        <v>232</v>
      </c>
      <c r="AC65" s="61"/>
      <c r="AD65" s="60" t="s">
        <v>233</v>
      </c>
      <c r="AE65" s="60" t="s">
        <v>234</v>
      </c>
      <c r="AF65" s="60" t="s">
        <v>235</v>
      </c>
      <c r="AG65" s="60" t="s">
        <v>236</v>
      </c>
      <c r="AH65" s="60" t="s">
        <v>237</v>
      </c>
      <c r="AI65" s="60" t="s">
        <v>238</v>
      </c>
      <c r="AJ65" s="62"/>
      <c r="AK65" s="60" t="s">
        <v>239</v>
      </c>
      <c r="AL65" s="60" t="s">
        <v>240</v>
      </c>
      <c r="AN65" s="60" t="s">
        <v>241</v>
      </c>
      <c r="AO65" s="60" t="s">
        <v>242</v>
      </c>
      <c r="AQ65" s="60" t="s">
        <v>243</v>
      </c>
      <c r="AR65" s="60" t="s">
        <v>244</v>
      </c>
      <c r="AS65" s="60" t="s">
        <v>245</v>
      </c>
    </row>
    <row r="66" spans="1:45" outlineLevel="1" x14ac:dyDescent="0.55000000000000004">
      <c r="B66" s="1"/>
      <c r="C66" s="3">
        <v>0</v>
      </c>
      <c r="D66" s="87">
        <v>1</v>
      </c>
      <c r="E66" s="2"/>
      <c r="F66" s="84">
        <v>1</v>
      </c>
      <c r="G66" s="84"/>
      <c r="H66" s="5"/>
      <c r="I66" s="2"/>
      <c r="J66" s="2"/>
      <c r="K66" s="2"/>
      <c r="L66" s="55"/>
      <c r="M66" s="55"/>
      <c r="N66" s="2"/>
      <c r="O66" s="10"/>
      <c r="P66" s="10"/>
      <c r="Q66" s="49"/>
      <c r="R66" s="55"/>
      <c r="S66" s="55"/>
      <c r="T66" s="2"/>
      <c r="U66" s="2"/>
      <c r="W66" s="63">
        <f t="shared" ref="W66:W82" si="35">IFERROR(IF(C66&gt;=$F$7*4,0,-IF($F$22="pattern",U67*$F$21,IF(AND($F$22="single",C66=0),$F$21,IF(AND($F$22="annual",MOD(C66,4)=0),$F$21/$F$7,IF(AND($F$22="semi-ann",MOD(C66,2)=0),$F$21/(2*$F$7),IF($F$22="quarterly",$F$21/(4*$F$7),0)))))*F66),0)</f>
        <v>-1825458.6239573236</v>
      </c>
      <c r="X66" s="63"/>
      <c r="Y66" s="63"/>
      <c r="Z66" s="63">
        <f>-$F$13*$F$21</f>
        <v>-900000</v>
      </c>
      <c r="AA66" s="63"/>
      <c r="AB66" s="64">
        <f>SUM(W66:AA66)</f>
        <v>-2725458.6239573238</v>
      </c>
      <c r="AC66" s="55"/>
      <c r="AD66" s="64">
        <f t="shared" ref="AD66:AD82" si="36">W66*$D66</f>
        <v>-1825458.6239573236</v>
      </c>
      <c r="AE66" s="64"/>
      <c r="AF66" s="64"/>
      <c r="AG66" s="64">
        <f t="shared" ref="AG66:AG82" si="37">Z66*$D66</f>
        <v>-900000</v>
      </c>
      <c r="AH66" s="64"/>
      <c r="AI66" s="64">
        <f>SUM(AD66:AH66)</f>
        <v>-2725458.6239573238</v>
      </c>
      <c r="AJ66" s="57"/>
      <c r="AK66" s="51">
        <f ca="1">SUM(AD66:AD$82,AG66:AG$82)/D66+SUM(AE67:AF$83,AH67:AH$82)/D66</f>
        <v>-4350016.5469817743</v>
      </c>
      <c r="AL66" s="51">
        <f>SUM(AE67:$AF$83)*$G$14/D66</f>
        <v>134355.66086155057</v>
      </c>
      <c r="AM66" s="51"/>
      <c r="AN66" s="51">
        <f ca="1">-SUM(AD66:$AD$83,AH66:$AH$83)/D66</f>
        <v>7928538.5757001257</v>
      </c>
      <c r="AO66" s="51">
        <f ca="1">-SUM(W66:$W$83,AA66:$AA$83)</f>
        <v>8014750.776667404</v>
      </c>
      <c r="AQ66" s="9">
        <f t="shared" ref="AQ66:AQ74" ca="1" si="38">AK66-AK39</f>
        <v>158601.67742433492</v>
      </c>
      <c r="AR66" s="9">
        <f t="shared" ref="AR66:AR74" si="39">AL66-AL39</f>
        <v>-78083.922496197425</v>
      </c>
      <c r="AS66" s="9">
        <f t="shared" ref="AS66:AS82" ca="1" si="40">IF($F$27="yes",AN66-AN39,AO66-AO39)</f>
        <v>74230.785337097943</v>
      </c>
    </row>
    <row r="67" spans="1:45" outlineLevel="1" x14ac:dyDescent="0.55000000000000004">
      <c r="A67" s="9"/>
      <c r="B67" s="1" t="s">
        <v>6</v>
      </c>
      <c r="C67" s="3">
        <v>1</v>
      </c>
      <c r="D67" s="87">
        <f>D66/(1+$F$17)^(1/4)</f>
        <v>0.99506157747984325</v>
      </c>
      <c r="E67" s="4"/>
      <c r="F67" s="84">
        <f t="shared" ref="F67:F74" si="41">(1-IF(C67&lt;$F$8,$F$19,$G$19))^(C67/4)</f>
        <v>0.94574160900317583</v>
      </c>
      <c r="G67" s="84">
        <f>AVERAGE(F66:F67)</f>
        <v>0.97287080450158792</v>
      </c>
      <c r="H67" s="154">
        <f>F67*D67</f>
        <v>0.94107113734302528</v>
      </c>
      <c r="I67" s="4"/>
      <c r="J67" s="98">
        <v>1</v>
      </c>
      <c r="K67" s="94">
        <f t="shared" ref="K67:K74" si="42">J67/$J$85</f>
        <v>6.25E-2</v>
      </c>
      <c r="L67" s="47">
        <f>J67*G67</f>
        <v>0.97287080450158792</v>
      </c>
      <c r="M67" s="47">
        <f>L67*D67</f>
        <v>0.96806635741143421</v>
      </c>
      <c r="N67" s="4"/>
      <c r="O67" s="98">
        <v>1</v>
      </c>
      <c r="P67" s="94">
        <f t="shared" ref="P67:P74" si="43">O67/$O$85</f>
        <v>6.25E-2</v>
      </c>
      <c r="Q67" s="155">
        <f>O67*G67</f>
        <v>0.97287080450158792</v>
      </c>
      <c r="R67" s="155">
        <f>Q67*D67</f>
        <v>0.96806635741143421</v>
      </c>
      <c r="S67" s="51"/>
      <c r="T67" s="138">
        <v>0.20282873599525819</v>
      </c>
      <c r="U67" s="136">
        <f>T67/$T$85</f>
        <v>0.20282873599525819</v>
      </c>
      <c r="W67" s="63">
        <f t="shared" si="35"/>
        <v>-1516687.3113547864</v>
      </c>
      <c r="X67" s="63">
        <f>$F$21*IF(C67&lt;$F$8,$F$11,$G$11)*P67*((1+$F$18)^(MIN($F$8-1,C67)/4))*((1+$G$18)^(MAX(0,C67-$F$8+1)/4))*F67</f>
        <v>319982.78747207677</v>
      </c>
      <c r="Y67" s="63">
        <f>$F$21*IF(C67&lt;$F$8,$F$12,$G$12)*IF($F$28="risk",P67*F67,IF($F$28="policies IF",F67/($F$7*4),1/($F$7*4)))</f>
        <v>79796.948259642959</v>
      </c>
      <c r="Z67" s="63">
        <v>0</v>
      </c>
      <c r="AA67" s="63">
        <f t="shared" ref="AA67:AA82" ca="1" si="44">IF($F$25="no",0,1)*(F67-F66)*OFFSET(W67,-IF($F$22="single",C67,IF($F$22="annual",MOD(C67,4),IF($F$22="semi-ann",MOD(C67,2),0))),0)*IF($F$22="single",($F$7*4-C67)/($F$7*4),IF(AND($F$22="annual",MOD(C67,4)&lt;&gt;0),(4-MOD(C67,4))/4,IF(AND($F$22="semi-ann",MOD(C67,2)&lt;&gt;0),0.5,0)))</f>
        <v>0</v>
      </c>
      <c r="AB67" s="64">
        <f t="shared" ref="AB67:AB74" ca="1" si="45">SUM(W67:AA67)</f>
        <v>-1116907.5756230666</v>
      </c>
      <c r="AC67" s="51"/>
      <c r="AD67" s="51">
        <f t="shared" si="36"/>
        <v>-1509197.2685803559</v>
      </c>
      <c r="AE67" s="64">
        <f t="shared" ref="AE67:AE82" si="46">X67*$D67</f>
        <v>318402.57726836216</v>
      </c>
      <c r="AF67" s="64">
        <f t="shared" ref="AF67:AF82" si="47">Y67*$D67</f>
        <v>79402.877213317755</v>
      </c>
      <c r="AG67" s="51">
        <f t="shared" si="37"/>
        <v>0</v>
      </c>
      <c r="AH67" s="64">
        <f t="shared" ref="AH67:AH82" ca="1" si="48">AA67*$D67</f>
        <v>0</v>
      </c>
      <c r="AI67" s="64">
        <f t="shared" ref="AI67:AI74" ca="1" si="49">SUM(AD67:AH67)</f>
        <v>-1111391.814098676</v>
      </c>
      <c r="AJ67" s="57"/>
      <c r="AK67" s="51">
        <f ca="1">SUM(AD67:AD$82,AG67:AG$82)/D67+SUM(AE68:AF$83,AH68:AH$82)/D67</f>
        <v>-2032400.2285648454</v>
      </c>
      <c r="AL67" s="51">
        <f>SUM(AE68:$AF$83)*$G$14/D67</f>
        <v>123029.06674092743</v>
      </c>
      <c r="AM67" s="51"/>
      <c r="AN67" s="51">
        <f ca="1">-SUM(AD67:$AD$83,AH67:$AH$83)/D67</f>
        <v>6133369.1199290939</v>
      </c>
      <c r="AO67" s="51">
        <f ca="1">-SUM(W67:$W$83,AA67:$AA$83)</f>
        <v>6189292.1527100792</v>
      </c>
      <c r="AQ67" s="9">
        <f t="shared" ca="1" si="38"/>
        <v>159388.80669678748</v>
      </c>
      <c r="AR67" s="9">
        <f t="shared" si="39"/>
        <v>-70475.852945879044</v>
      </c>
      <c r="AS67" s="9">
        <f t="shared" ca="1" si="40"/>
        <v>74230.785337097943</v>
      </c>
    </row>
    <row r="68" spans="1:45" outlineLevel="1" x14ac:dyDescent="0.55000000000000004">
      <c r="A68" s="9"/>
      <c r="B68" s="1" t="s">
        <v>7</v>
      </c>
      <c r="C68" s="3">
        <v>2</v>
      </c>
      <c r="D68" s="87">
        <f t="shared" ref="D68:D82" si="50">D67/(1+$F$17)^(1/4)</f>
        <v>0.99014754297667418</v>
      </c>
      <c r="E68" s="4"/>
      <c r="F68" s="84">
        <f t="shared" si="41"/>
        <v>0.89442719099991586</v>
      </c>
      <c r="G68" s="84">
        <f t="shared" ref="G68:G74" si="51">AVERAGE(F67:F68)</f>
        <v>0.92008440000154579</v>
      </c>
      <c r="H68" s="154">
        <f t="shared" ref="H68:H74" si="52">F68*D68</f>
        <v>0.88561488554009515</v>
      </c>
      <c r="I68" s="4"/>
      <c r="J68" s="98">
        <v>1</v>
      </c>
      <c r="K68" s="94">
        <f t="shared" si="42"/>
        <v>6.25E-2</v>
      </c>
      <c r="L68" s="47">
        <f t="shared" ref="L68:L74" si="53">J68*G68</f>
        <v>0.92008440000154579</v>
      </c>
      <c r="M68" s="47">
        <f t="shared" ref="M68:M74" si="54">L68*D68</f>
        <v>0.91101930799269804</v>
      </c>
      <c r="N68" s="4"/>
      <c r="O68" s="98">
        <v>1</v>
      </c>
      <c r="P68" s="94">
        <f t="shared" si="43"/>
        <v>6.25E-2</v>
      </c>
      <c r="Q68" s="155">
        <f t="shared" ref="Q68:Q74" si="55">O68*G68</f>
        <v>0.92008440000154579</v>
      </c>
      <c r="R68" s="155">
        <f t="shared" ref="R68:R74" si="56">Q68*D68</f>
        <v>0.91101930799269804</v>
      </c>
      <c r="S68" s="51"/>
      <c r="T68" s="138">
        <v>0.17818906429460918</v>
      </c>
      <c r="U68" s="136">
        <f t="shared" ref="U68:U82" si="57">T68/$T$85</f>
        <v>0.17818906429460918</v>
      </c>
      <c r="W68" s="63">
        <f t="shared" si="35"/>
        <v>-1625588.2491037957</v>
      </c>
      <c r="X68" s="63">
        <f t="shared" ref="X68:X82" si="58">$F$21*IF(C68&lt;$F$8,$F$11,$G$11)*P68*((1+$F$18)^(MIN($F$8-1,C68)/4))*((1+$G$18)^(MAX(0,C68-$F$8+1)/4))*F68</f>
        <v>303374.76823229709</v>
      </c>
      <c r="Y68" s="63">
        <f t="shared" ref="Y68:Y82" si="59">$F$21*IF(C68&lt;$F$8,$F$12,$G$12)*IF($F$28="risk",P68*F68,IF($F$28="policies IF",F68/($F$7*4),1/($F$7*4)))</f>
        <v>75467.294240617906</v>
      </c>
      <c r="Z68" s="63">
        <v>0</v>
      </c>
      <c r="AA68" s="63">
        <f t="shared" ca="1" si="44"/>
        <v>0</v>
      </c>
      <c r="AB68" s="64">
        <f t="shared" ca="1" si="45"/>
        <v>-1246746.1866308807</v>
      </c>
      <c r="AC68" s="51"/>
      <c r="AD68" s="51">
        <f t="shared" si="36"/>
        <v>-1609572.2107418771</v>
      </c>
      <c r="AE68" s="64">
        <f t="shared" si="46"/>
        <v>300385.78136632696</v>
      </c>
      <c r="AF68" s="64">
        <f t="shared" si="47"/>
        <v>74723.755967445541</v>
      </c>
      <c r="AG68" s="51">
        <f t="shared" si="37"/>
        <v>0</v>
      </c>
      <c r="AH68" s="64">
        <f t="shared" ca="1" si="48"/>
        <v>0</v>
      </c>
      <c r="AI68" s="64">
        <f t="shared" ca="1" si="49"/>
        <v>-1234462.6734081048</v>
      </c>
      <c r="AJ68" s="57"/>
      <c r="AK68" s="51">
        <f ca="1">SUM(AD68:AD$82,AG68:AG$82)/D68+SUM(AE69:AF$83,AH69:AH$82)/D68</f>
        <v>-897114.42760250391</v>
      </c>
      <c r="AL68" s="51">
        <f>SUM(AE69:$AF$83)*$G$14/D68</f>
        <v>112274.38970649034</v>
      </c>
      <c r="AM68" s="51"/>
      <c r="AN68" s="51">
        <f ca="1">-SUM(AD68:$AD$83,AH68:$AH$83)/D68</f>
        <v>4639594.084485516</v>
      </c>
      <c r="AO68" s="51">
        <f ca="1">-SUM(W68:$W$83,AA68:$AA$83)</f>
        <v>4672604.841355294</v>
      </c>
      <c r="AQ68" s="9">
        <f t="shared" ca="1" si="38"/>
        <v>160179.84243796021</v>
      </c>
      <c r="AR68" s="9">
        <f t="shared" si="39"/>
        <v>-63248.778532154203</v>
      </c>
      <c r="AS68" s="9">
        <f t="shared" ca="1" si="40"/>
        <v>74230.785337097943</v>
      </c>
    </row>
    <row r="69" spans="1:45" outlineLevel="1" x14ac:dyDescent="0.55000000000000004">
      <c r="A69" s="9"/>
      <c r="B69" s="1" t="s">
        <v>8</v>
      </c>
      <c r="C69" s="3">
        <v>3</v>
      </c>
      <c r="D69" s="87">
        <f t="shared" si="50"/>
        <v>0.98525777605216036</v>
      </c>
      <c r="E69" s="4"/>
      <c r="F69" s="84">
        <f t="shared" si="41"/>
        <v>0.84589701075245127</v>
      </c>
      <c r="G69" s="84">
        <f t="shared" si="51"/>
        <v>0.87016210087618351</v>
      </c>
      <c r="H69" s="154">
        <f t="shared" si="52"/>
        <v>0.83342660758313047</v>
      </c>
      <c r="I69" s="4"/>
      <c r="J69" s="98">
        <v>1</v>
      </c>
      <c r="K69" s="94">
        <f t="shared" si="42"/>
        <v>6.25E-2</v>
      </c>
      <c r="L69" s="47">
        <f t="shared" si="53"/>
        <v>0.87016210087618351</v>
      </c>
      <c r="M69" s="47">
        <f t="shared" si="54"/>
        <v>0.85733397631414421</v>
      </c>
      <c r="N69" s="4"/>
      <c r="O69" s="98">
        <v>1</v>
      </c>
      <c r="P69" s="94">
        <f t="shared" si="43"/>
        <v>6.25E-2</v>
      </c>
      <c r="Q69" s="155">
        <f t="shared" si="55"/>
        <v>0.87016210087618351</v>
      </c>
      <c r="R69" s="155">
        <f t="shared" si="56"/>
        <v>0.85733397631414421</v>
      </c>
      <c r="S69" s="51"/>
      <c r="T69" s="138">
        <v>0.20194032380116383</v>
      </c>
      <c r="U69" s="136">
        <f t="shared" si="57"/>
        <v>0.20194032380116383</v>
      </c>
      <c r="W69" s="63">
        <f t="shared" si="35"/>
        <v>-1576640.0392691609</v>
      </c>
      <c r="X69" s="63">
        <f t="shared" si="58"/>
        <v>287628.75255604647</v>
      </c>
      <c r="Y69" s="63">
        <f t="shared" si="59"/>
        <v>71372.560282238075</v>
      </c>
      <c r="Z69" s="63">
        <v>0</v>
      </c>
      <c r="AA69" s="63">
        <f t="shared" ca="1" si="44"/>
        <v>0</v>
      </c>
      <c r="AB69" s="64">
        <f t="shared" ca="1" si="45"/>
        <v>-1217638.7264308764</v>
      </c>
      <c r="AC69" s="51"/>
      <c r="AD69" s="51">
        <f t="shared" si="36"/>
        <v>-1553396.8587251243</v>
      </c>
      <c r="AE69" s="64">
        <f t="shared" si="46"/>
        <v>283388.46507202747</v>
      </c>
      <c r="AF69" s="64">
        <f t="shared" si="47"/>
        <v>70320.370014826636</v>
      </c>
      <c r="AG69" s="51">
        <f t="shared" si="37"/>
        <v>0</v>
      </c>
      <c r="AH69" s="64">
        <f t="shared" ca="1" si="48"/>
        <v>0</v>
      </c>
      <c r="AI69" s="64">
        <f t="shared" ca="1" si="49"/>
        <v>-1199688.0236382703</v>
      </c>
      <c r="AJ69" s="57"/>
      <c r="AK69" s="51">
        <f ca="1">SUM(AD69:AD$82,AG69:AG$82)/D69+SUM(AE70:AF$83,AH70:AH$82)/D69</f>
        <v>373087.87439198932</v>
      </c>
      <c r="AL69" s="51">
        <f>SUM(AE70:$AF$83)*$G$14/D69</f>
        <v>102061.56043487832</v>
      </c>
      <c r="AM69" s="51"/>
      <c r="AN69" s="51">
        <f ca="1">-SUM(AD69:$AD$83,AH69:$AH$83)/D69</f>
        <v>3028964.1401039548</v>
      </c>
      <c r="AO69" s="51">
        <f ca="1">-SUM(W69:$W$83,AA69:$AA$83)</f>
        <v>3047016.5922514987</v>
      </c>
      <c r="AQ69" s="9">
        <f t="shared" ca="1" si="38"/>
        <v>160974.80403538747</v>
      </c>
      <c r="AR69" s="9">
        <f t="shared" si="39"/>
        <v>-56382.651635332339</v>
      </c>
      <c r="AS69" s="9">
        <f t="shared" ca="1" si="40"/>
        <v>74230.785337099805</v>
      </c>
    </row>
    <row r="70" spans="1:45" outlineLevel="1" x14ac:dyDescent="0.55000000000000004">
      <c r="A70" s="9"/>
      <c r="B70" s="1" t="s">
        <v>9</v>
      </c>
      <c r="C70" s="3">
        <v>4</v>
      </c>
      <c r="D70" s="87">
        <f t="shared" si="50"/>
        <v>0.98039215686274483</v>
      </c>
      <c r="E70" s="4"/>
      <c r="F70" s="84">
        <f t="shared" si="41"/>
        <v>0.8</v>
      </c>
      <c r="G70" s="84">
        <f t="shared" si="51"/>
        <v>0.82294850537622566</v>
      </c>
      <c r="H70" s="154">
        <f t="shared" si="52"/>
        <v>0.78431372549019596</v>
      </c>
      <c r="I70" s="4"/>
      <c r="J70" s="98">
        <v>1</v>
      </c>
      <c r="K70" s="94">
        <f t="shared" si="42"/>
        <v>6.25E-2</v>
      </c>
      <c r="L70" s="47">
        <f t="shared" si="53"/>
        <v>0.82294850537622566</v>
      </c>
      <c r="M70" s="47">
        <f t="shared" si="54"/>
        <v>0.80681226017277008</v>
      </c>
      <c r="N70" s="4"/>
      <c r="O70" s="98">
        <v>1</v>
      </c>
      <c r="P70" s="94">
        <f t="shared" si="43"/>
        <v>6.25E-2</v>
      </c>
      <c r="Q70" s="155">
        <f t="shared" si="55"/>
        <v>0.82294850537622566</v>
      </c>
      <c r="R70" s="155">
        <f t="shared" si="56"/>
        <v>0.80681226017277008</v>
      </c>
      <c r="S70" s="51"/>
      <c r="T70" s="138">
        <v>0.20709640104961757</v>
      </c>
      <c r="U70" s="136">
        <f t="shared" si="57"/>
        <v>0.20709640104961757</v>
      </c>
      <c r="W70" s="63">
        <f t="shared" si="35"/>
        <v>-598862.14189269196</v>
      </c>
      <c r="X70" s="63">
        <f t="shared" si="58"/>
        <v>272700</v>
      </c>
      <c r="Y70" s="63">
        <f t="shared" si="59"/>
        <v>67500</v>
      </c>
      <c r="Z70" s="63">
        <v>0</v>
      </c>
      <c r="AA70" s="63">
        <f t="shared" ca="1" si="44"/>
        <v>0</v>
      </c>
      <c r="AB70" s="64">
        <f t="shared" ca="1" si="45"/>
        <v>-258662.14189269196</v>
      </c>
      <c r="AC70" s="51"/>
      <c r="AD70" s="51">
        <f t="shared" si="36"/>
        <v>-587119.74695361941</v>
      </c>
      <c r="AE70" s="64">
        <f t="shared" si="46"/>
        <v>267352.94117647054</v>
      </c>
      <c r="AF70" s="64">
        <f t="shared" si="47"/>
        <v>66176.470588235272</v>
      </c>
      <c r="AG70" s="51">
        <f t="shared" si="37"/>
        <v>0</v>
      </c>
      <c r="AH70" s="64">
        <f t="shared" ca="1" si="48"/>
        <v>0</v>
      </c>
      <c r="AI70" s="64">
        <f t="shared" ca="1" si="49"/>
        <v>-253590.3351889136</v>
      </c>
      <c r="AJ70" s="57"/>
      <c r="AK70" s="51">
        <f ca="1">SUM(AD70:AD$82,AG70:AG$82)/D70+SUM(AE71:AF$83,AH71:AH$82)/D70</f>
        <v>1619204.2798830164</v>
      </c>
      <c r="AL70" s="51">
        <f>SUM(AE71:$AF$83)*$G$14/D70</f>
        <v>92362.084975571066</v>
      </c>
      <c r="AM70" s="51"/>
      <c r="AN70" s="51">
        <f ca="1">-SUM(AD70:$AD$83,AH70:$AH$83)/D70</f>
        <v>1459531.8859693524</v>
      </c>
      <c r="AO70" s="51">
        <f ca="1">-SUM(W70:$W$83,AA70:$AA$83)</f>
        <v>1470376.5529823373</v>
      </c>
      <c r="AQ70" s="9">
        <f t="shared" ca="1" si="38"/>
        <v>161773.71097282413</v>
      </c>
      <c r="AR70" s="9">
        <f t="shared" si="39"/>
        <v>-49858.474877314278</v>
      </c>
      <c r="AS70" s="9">
        <f t="shared" ca="1" si="40"/>
        <v>74230.78533709934</v>
      </c>
    </row>
    <row r="71" spans="1:45" outlineLevel="1" x14ac:dyDescent="0.55000000000000004">
      <c r="A71" s="9"/>
      <c r="B71" s="1" t="s">
        <v>16</v>
      </c>
      <c r="C71" s="3">
        <v>5</v>
      </c>
      <c r="D71" s="87">
        <f t="shared" si="50"/>
        <v>0.97555056615670888</v>
      </c>
      <c r="E71" s="4"/>
      <c r="F71" s="84">
        <f t="shared" si="41"/>
        <v>0.75659328720254071</v>
      </c>
      <c r="G71" s="84">
        <f t="shared" si="51"/>
        <v>0.77829664360127038</v>
      </c>
      <c r="H71" s="154">
        <f t="shared" si="52"/>
        <v>0.73809500968080399</v>
      </c>
      <c r="I71" s="4"/>
      <c r="J71" s="98">
        <v>1</v>
      </c>
      <c r="K71" s="94">
        <f t="shared" si="42"/>
        <v>6.25E-2</v>
      </c>
      <c r="L71" s="47">
        <f t="shared" si="53"/>
        <v>0.77829664360127038</v>
      </c>
      <c r="M71" s="47">
        <f t="shared" si="54"/>
        <v>0.75926773130308556</v>
      </c>
      <c r="N71" s="4"/>
      <c r="O71" s="98">
        <v>1</v>
      </c>
      <c r="P71" s="94">
        <f t="shared" si="43"/>
        <v>6.25E-2</v>
      </c>
      <c r="Q71" s="155">
        <f t="shared" si="55"/>
        <v>0.77829664360127038</v>
      </c>
      <c r="R71" s="155">
        <f t="shared" si="56"/>
        <v>0.75926773130308556</v>
      </c>
      <c r="S71" s="51"/>
      <c r="T71" s="138">
        <v>8.3175297485096111E-2</v>
      </c>
      <c r="U71" s="136">
        <f t="shared" si="57"/>
        <v>8.3175297485096111E-2</v>
      </c>
      <c r="W71" s="63">
        <f t="shared" si="35"/>
        <v>-353341.95904584404</v>
      </c>
      <c r="X71" s="63">
        <f t="shared" si="58"/>
        <v>258546.09227743812</v>
      </c>
      <c r="Y71" s="63">
        <f t="shared" si="59"/>
        <v>63837.558607714374</v>
      </c>
      <c r="Z71" s="63">
        <v>0</v>
      </c>
      <c r="AA71" s="63">
        <f t="shared" ca="1" si="44"/>
        <v>0</v>
      </c>
      <c r="AB71" s="64">
        <f t="shared" ca="1" si="45"/>
        <v>-30958.308160691544</v>
      </c>
      <c r="AC71" s="51"/>
      <c r="AD71" s="51">
        <f t="shared" si="36"/>
        <v>-344702.94819409377</v>
      </c>
      <c r="AE71" s="64">
        <f t="shared" si="46"/>
        <v>252224.78669885945</v>
      </c>
      <c r="AF71" s="64">
        <f t="shared" si="47"/>
        <v>62276.766441817839</v>
      </c>
      <c r="AG71" s="51">
        <f t="shared" si="37"/>
        <v>0</v>
      </c>
      <c r="AH71" s="64">
        <f t="shared" ca="1" si="48"/>
        <v>0</v>
      </c>
      <c r="AI71" s="64">
        <f t="shared" ca="1" si="49"/>
        <v>-30201.395053416483</v>
      </c>
      <c r="AJ71" s="57"/>
      <c r="AK71" s="51">
        <f ca="1">SUM(AD71:AD$82,AG71:AG$82)/D71+SUM(AE72:AF$83,AH72:AH$82)/D71</f>
        <v>1906690.8827666491</v>
      </c>
      <c r="AL71" s="51">
        <f>SUM(AE72:$AF$83)*$G$14/D71</f>
        <v>83148.962156708672</v>
      </c>
      <c r="AM71" s="51"/>
      <c r="AN71" s="51">
        <f ca="1">-SUM(AD71:$AD$83,AH71:$AH$83)/D71</f>
        <v>864941.18912363972</v>
      </c>
      <c r="AO71" s="51">
        <f ca="1">-SUM(W71:$W$83,AA71:$AA$83)</f>
        <v>871514.41108964535</v>
      </c>
      <c r="AQ71" s="9">
        <f t="shared" ca="1" si="38"/>
        <v>162576.58283072454</v>
      </c>
      <c r="AR71" s="9">
        <f t="shared" si="39"/>
        <v>-43658.246058771649</v>
      </c>
      <c r="AS71" s="9">
        <f t="shared" ca="1" si="40"/>
        <v>74230.785337099456</v>
      </c>
    </row>
    <row r="72" spans="1:45" outlineLevel="1" x14ac:dyDescent="0.55000000000000004">
      <c r="A72" s="9"/>
      <c r="B72" s="1" t="s">
        <v>17</v>
      </c>
      <c r="C72" s="3">
        <v>6</v>
      </c>
      <c r="D72" s="87">
        <f t="shared" si="50"/>
        <v>0.9707328852712489</v>
      </c>
      <c r="E72" s="4"/>
      <c r="F72" s="84">
        <f t="shared" si="41"/>
        <v>0.71554175279993271</v>
      </c>
      <c r="G72" s="84">
        <f t="shared" si="51"/>
        <v>0.73606752000123676</v>
      </c>
      <c r="H72" s="154">
        <f t="shared" si="52"/>
        <v>0.69459991022752543</v>
      </c>
      <c r="I72" s="4"/>
      <c r="J72" s="98">
        <v>1</v>
      </c>
      <c r="K72" s="94">
        <f t="shared" si="42"/>
        <v>6.25E-2</v>
      </c>
      <c r="L72" s="47">
        <f t="shared" si="53"/>
        <v>0.73606752000123676</v>
      </c>
      <c r="M72" s="47">
        <f t="shared" si="54"/>
        <v>0.7145249474452533</v>
      </c>
      <c r="N72" s="4"/>
      <c r="O72" s="98">
        <v>1</v>
      </c>
      <c r="P72" s="94">
        <f t="shared" si="43"/>
        <v>6.25E-2</v>
      </c>
      <c r="Q72" s="155">
        <f t="shared" si="55"/>
        <v>0.73606752000123676</v>
      </c>
      <c r="R72" s="155">
        <f t="shared" si="56"/>
        <v>0.7145249474452533</v>
      </c>
      <c r="S72" s="51"/>
      <c r="T72" s="138">
        <v>5.1890782453176132E-2</v>
      </c>
      <c r="U72" s="136">
        <f t="shared" si="57"/>
        <v>5.1890782453176132E-2</v>
      </c>
      <c r="W72" s="63">
        <f t="shared" si="35"/>
        <v>-179227.48960220299</v>
      </c>
      <c r="X72" s="63">
        <f t="shared" si="58"/>
        <v>245126.81273169606</v>
      </c>
      <c r="Y72" s="63">
        <f t="shared" si="59"/>
        <v>60373.835392494322</v>
      </c>
      <c r="Z72" s="63">
        <v>0</v>
      </c>
      <c r="AA72" s="63">
        <f t="shared" ca="1" si="44"/>
        <v>0</v>
      </c>
      <c r="AB72" s="64">
        <f t="shared" ca="1" si="45"/>
        <v>126273.1585219874</v>
      </c>
      <c r="AC72" s="51"/>
      <c r="AD72" s="51">
        <f t="shared" si="36"/>
        <v>-173982.01810146926</v>
      </c>
      <c r="AE72" s="64">
        <f t="shared" si="46"/>
        <v>237952.65818038443</v>
      </c>
      <c r="AF72" s="64">
        <f t="shared" si="47"/>
        <v>58606.867425447461</v>
      </c>
      <c r="AG72" s="51">
        <f t="shared" si="37"/>
        <v>0</v>
      </c>
      <c r="AH72" s="64">
        <f t="shared" ca="1" si="48"/>
        <v>0</v>
      </c>
      <c r="AI72" s="64">
        <f t="shared" ca="1" si="49"/>
        <v>122577.50750436263</v>
      </c>
      <c r="AJ72" s="57"/>
      <c r="AK72" s="51">
        <f ca="1">SUM(AD72:AD$82,AG72:AG$82)/D72+SUM(AE73:AF$83,AH73:AH$82)/D72</f>
        <v>1965748.5820354116</v>
      </c>
      <c r="AL72" s="51">
        <f>SUM(AE73:$AF$83)*$G$14/D72</f>
        <v>74396.605322549614</v>
      </c>
      <c r="AM72" s="51"/>
      <c r="AN72" s="51">
        <f ca="1">-SUM(AD72:$AD$83,AH72:$AH$83)/D72</f>
        <v>514138.26204957545</v>
      </c>
      <c r="AO72" s="51">
        <f ca="1">-SUM(W72:$W$83,AA72:$AA$83)</f>
        <v>518172.45204380126</v>
      </c>
      <c r="AQ72" s="9">
        <f t="shared" ca="1" si="38"/>
        <v>163383.43928671954</v>
      </c>
      <c r="AR72" s="9">
        <f t="shared" si="39"/>
        <v>-37764.905984083613</v>
      </c>
      <c r="AS72" s="9">
        <f t="shared" ca="1" si="40"/>
        <v>74230.785337099223</v>
      </c>
    </row>
    <row r="73" spans="1:45" outlineLevel="1" x14ac:dyDescent="0.55000000000000004">
      <c r="A73" s="9"/>
      <c r="B73" s="1" t="s">
        <v>18</v>
      </c>
      <c r="C73" s="3">
        <v>7</v>
      </c>
      <c r="D73" s="87">
        <f t="shared" si="50"/>
        <v>0.96593899612956868</v>
      </c>
      <c r="E73" s="4"/>
      <c r="F73" s="84">
        <f t="shared" si="41"/>
        <v>0.83161897782507621</v>
      </c>
      <c r="G73" s="84">
        <f t="shared" si="51"/>
        <v>0.7735803653125044</v>
      </c>
      <c r="H73" s="154">
        <f t="shared" si="52"/>
        <v>0.80329320060265219</v>
      </c>
      <c r="I73" s="4"/>
      <c r="J73" s="98">
        <v>1</v>
      </c>
      <c r="K73" s="94">
        <f t="shared" si="42"/>
        <v>6.25E-2</v>
      </c>
      <c r="L73" s="47">
        <f t="shared" si="53"/>
        <v>0.7735803653125044</v>
      </c>
      <c r="M73" s="47">
        <f t="shared" si="54"/>
        <v>0.74723144149550547</v>
      </c>
      <c r="N73" s="4"/>
      <c r="O73" s="98">
        <v>1</v>
      </c>
      <c r="P73" s="94">
        <f t="shared" si="43"/>
        <v>6.25E-2</v>
      </c>
      <c r="Q73" s="155">
        <f t="shared" si="55"/>
        <v>0.7735803653125044</v>
      </c>
      <c r="R73" s="155">
        <f t="shared" si="56"/>
        <v>0.74723144149550547</v>
      </c>
      <c r="S73" s="51"/>
      <c r="T73" s="138">
        <v>2.7830892374108518E-2</v>
      </c>
      <c r="U73" s="136">
        <f t="shared" si="57"/>
        <v>2.7830892374108518E-2</v>
      </c>
      <c r="W73" s="63">
        <f t="shared" si="35"/>
        <v>-113954.73182080506</v>
      </c>
      <c r="X73" s="63">
        <f t="shared" si="58"/>
        <v>237706.1941644758</v>
      </c>
      <c r="Y73" s="63">
        <f t="shared" si="59"/>
        <v>46778.567502660539</v>
      </c>
      <c r="Z73" s="63">
        <v>0</v>
      </c>
      <c r="AA73" s="63">
        <f t="shared" ca="1" si="44"/>
        <v>0</v>
      </c>
      <c r="AB73" s="64">
        <f t="shared" ca="1" si="45"/>
        <v>170530.02984633128</v>
      </c>
      <c r="AC73" s="51"/>
      <c r="AD73" s="51">
        <f t="shared" si="36"/>
        <v>-110073.31925920265</v>
      </c>
      <c r="AE73" s="64">
        <f t="shared" si="46"/>
        <v>229609.68256501408</v>
      </c>
      <c r="AF73" s="64">
        <f t="shared" si="47"/>
        <v>45185.242533899189</v>
      </c>
      <c r="AG73" s="51">
        <f t="shared" si="37"/>
        <v>0</v>
      </c>
      <c r="AH73" s="64">
        <f t="shared" ca="1" si="48"/>
        <v>0</v>
      </c>
      <c r="AI73" s="64">
        <f t="shared" ca="1" si="49"/>
        <v>164721.60583971062</v>
      </c>
      <c r="AJ73" s="57"/>
      <c r="AK73" s="51">
        <f ca="1">SUM(AD73:AD$82,AG73:AG$82)/D73+SUM(AE74:AF$83,AH74:AH$82)/D73</f>
        <v>1871136.6794401754</v>
      </c>
      <c r="AL73" s="51">
        <f>SUM(AE74:$AF$83)*$G$14/D73</f>
        <v>66231.287734029989</v>
      </c>
      <c r="AM73" s="51"/>
      <c r="AN73" s="51">
        <f ca="1">-SUM(AD73:$AD$83,AH73:$AH$83)/D73</f>
        <v>336572.91169415769</v>
      </c>
      <c r="AO73" s="51">
        <f ca="1">-SUM(W73:$W$83,AA73:$AA$83)</f>
        <v>338944.9624415983</v>
      </c>
      <c r="AQ73" s="9">
        <f t="shared" ca="1" si="38"/>
        <v>169211.61874003406</v>
      </c>
      <c r="AR73" s="9">
        <f t="shared" si="39"/>
        <v>-32011.769463811375</v>
      </c>
      <c r="AS73" s="9">
        <f t="shared" ca="1" si="40"/>
        <v>74230.78533709934</v>
      </c>
    </row>
    <row r="74" spans="1:45" outlineLevel="1" x14ac:dyDescent="0.55000000000000004">
      <c r="A74" s="9"/>
      <c r="B74" s="1" t="s">
        <v>19</v>
      </c>
      <c r="C74" s="3">
        <v>8</v>
      </c>
      <c r="D74" s="87">
        <f t="shared" si="50"/>
        <v>0.96116878123798488</v>
      </c>
      <c r="E74" s="4"/>
      <c r="F74" s="84">
        <f t="shared" si="41"/>
        <v>0.81</v>
      </c>
      <c r="G74" s="84">
        <f t="shared" si="51"/>
        <v>0.82080948891253813</v>
      </c>
      <c r="H74" s="154">
        <f t="shared" si="52"/>
        <v>0.77854671280276777</v>
      </c>
      <c r="I74" s="4"/>
      <c r="J74" s="98">
        <v>1</v>
      </c>
      <c r="K74" s="94">
        <f t="shared" si="42"/>
        <v>6.25E-2</v>
      </c>
      <c r="L74" s="47">
        <f t="shared" si="53"/>
        <v>0.82080948891253813</v>
      </c>
      <c r="M74" s="47">
        <f t="shared" si="54"/>
        <v>0.78893645608663754</v>
      </c>
      <c r="N74" s="4"/>
      <c r="O74" s="98">
        <v>1</v>
      </c>
      <c r="P74" s="94">
        <f t="shared" si="43"/>
        <v>6.25E-2</v>
      </c>
      <c r="Q74" s="155">
        <f t="shared" si="55"/>
        <v>0.82080948891253813</v>
      </c>
      <c r="R74" s="155">
        <f t="shared" si="56"/>
        <v>0.78893645608663754</v>
      </c>
      <c r="S74" s="51"/>
      <c r="T74" s="138">
        <v>1.5225286106495761E-2</v>
      </c>
      <c r="U74" s="136">
        <f t="shared" si="57"/>
        <v>1.5225286106495761E-2</v>
      </c>
      <c r="W74" s="63">
        <f t="shared" si="35"/>
        <v>-101100.35781684837</v>
      </c>
      <c r="X74" s="63">
        <f t="shared" si="58"/>
        <v>231815.59100580279</v>
      </c>
      <c r="Y74" s="63">
        <f t="shared" si="59"/>
        <v>45562.5</v>
      </c>
      <c r="Z74" s="63">
        <v>0</v>
      </c>
      <c r="AA74" s="63">
        <f t="shared" ca="1" si="44"/>
        <v>0</v>
      </c>
      <c r="AB74" s="64">
        <f t="shared" ca="1" si="45"/>
        <v>176277.73318895441</v>
      </c>
      <c r="AC74" s="51"/>
      <c r="AD74" s="51">
        <f t="shared" si="36"/>
        <v>-97174.507705544325</v>
      </c>
      <c r="AE74" s="64">
        <f t="shared" si="46"/>
        <v>222813.90907901066</v>
      </c>
      <c r="AF74" s="64">
        <f t="shared" si="47"/>
        <v>43793.252595155689</v>
      </c>
      <c r="AG74" s="51">
        <f t="shared" si="37"/>
        <v>0</v>
      </c>
      <c r="AH74" s="64">
        <f t="shared" ca="1" si="48"/>
        <v>0</v>
      </c>
      <c r="AI74" s="64">
        <f t="shared" ca="1" si="49"/>
        <v>169432.65396862203</v>
      </c>
      <c r="AJ74" s="57"/>
      <c r="AK74" s="51">
        <f ca="1">SUM(AD74:AD$82,AG74:AG$82)/D74+SUM(AE75:AF$83,AH75:AH$82)/D74</f>
        <v>1717565.19309582</v>
      </c>
      <c r="AL74" s="51">
        <f>SUM(AE75:$AF$83)*$G$14/D74</f>
        <v>58238.646352885058</v>
      </c>
      <c r="AM74" s="51"/>
      <c r="AN74" s="51">
        <f ca="1">-SUM(AD74:$AD$83,AH74:$AH$83)/D74</f>
        <v>223723.01866701528</v>
      </c>
      <c r="AO74" s="51">
        <f ca="1">-SUM(W74:$W$83,AA74:$AA$83)</f>
        <v>224990.23062079324</v>
      </c>
      <c r="AQ74" s="9">
        <f t="shared" ca="1" si="38"/>
        <v>188346.01439123647</v>
      </c>
      <c r="AR74" s="9">
        <f t="shared" si="39"/>
        <v>-26774.904415371522</v>
      </c>
      <c r="AS74" s="9">
        <f t="shared" ca="1" si="40"/>
        <v>53005.026354710542</v>
      </c>
    </row>
    <row r="75" spans="1:45" outlineLevel="1" x14ac:dyDescent="0.55000000000000004">
      <c r="A75" s="9"/>
      <c r="B75" s="1" t="s">
        <v>20</v>
      </c>
      <c r="C75" s="3">
        <v>9</v>
      </c>
      <c r="D75" s="87">
        <f t="shared" si="50"/>
        <v>0.95642212368304769</v>
      </c>
      <c r="E75" s="4"/>
      <c r="F75" s="84">
        <f t="shared" ref="F75:F82" si="60">(1-IF(C75&lt;$F$8,$F$19,$G$19))^(C75/4)</f>
        <v>0.78894303460449045</v>
      </c>
      <c r="G75" s="84">
        <f t="shared" ref="G75:G82" si="61">AVERAGE(F74:F75)</f>
        <v>0.7994715173022453</v>
      </c>
      <c r="H75" s="154">
        <f t="shared" ref="H75:H82" si="62">F75*D75</f>
        <v>0.75456257262137494</v>
      </c>
      <c r="I75" s="4"/>
      <c r="J75" s="98">
        <v>1</v>
      </c>
      <c r="K75" s="94">
        <f t="shared" ref="K75:K82" si="63">J75/$J$85</f>
        <v>6.25E-2</v>
      </c>
      <c r="L75" s="47">
        <f t="shared" ref="L75:L82" si="64">J75*G75</f>
        <v>0.7994715173022453</v>
      </c>
      <c r="M75" s="47">
        <f t="shared" ref="M75:M82" si="65">L75*D75</f>
        <v>0.76463224640232186</v>
      </c>
      <c r="N75" s="4"/>
      <c r="O75" s="98">
        <v>1</v>
      </c>
      <c r="P75" s="94">
        <f t="shared" ref="P75:P82" si="66">O75/$O$85</f>
        <v>6.25E-2</v>
      </c>
      <c r="Q75" s="155">
        <f t="shared" ref="Q75:Q82" si="67">O75*G75</f>
        <v>0.7994715173022453</v>
      </c>
      <c r="R75" s="155">
        <f t="shared" ref="R75:R82" si="68">Q75*D75</f>
        <v>0.76463224640232186</v>
      </c>
      <c r="S75" s="51"/>
      <c r="T75" s="138">
        <v>1.3868361840445591E-2</v>
      </c>
      <c r="U75" s="136">
        <f t="shared" si="57"/>
        <v>1.3868361840445591E-2</v>
      </c>
      <c r="W75" s="63">
        <f t="shared" si="35"/>
        <v>-36077.504230091625</v>
      </c>
      <c r="X75" s="63">
        <f t="shared" si="58"/>
        <v>226070.96303172651</v>
      </c>
      <c r="Y75" s="63">
        <f t="shared" si="59"/>
        <v>44378.045696502588</v>
      </c>
      <c r="Z75" s="63">
        <v>0</v>
      </c>
      <c r="AA75" s="63">
        <f t="shared" ca="1" si="44"/>
        <v>0</v>
      </c>
      <c r="AB75" s="64">
        <f t="shared" ref="AB75:AB82" ca="1" si="69">SUM(W75:AA75)</f>
        <v>234371.50449813748</v>
      </c>
      <c r="AC75" s="51"/>
      <c r="AD75" s="51">
        <f t="shared" si="36"/>
        <v>-34505.323212928372</v>
      </c>
      <c r="AE75" s="64">
        <f t="shared" si="46"/>
        <v>216219.27056587563</v>
      </c>
      <c r="AF75" s="64">
        <f t="shared" si="47"/>
        <v>42444.144709952343</v>
      </c>
      <c r="AG75" s="51">
        <f t="shared" si="37"/>
        <v>0</v>
      </c>
      <c r="AH75" s="64">
        <f t="shared" ca="1" si="48"/>
        <v>0</v>
      </c>
      <c r="AI75" s="64">
        <f t="shared" ref="AI75:AI82" ca="1" si="70">SUM(AD75:AH75)</f>
        <v>224158.09206289961</v>
      </c>
      <c r="AJ75" s="57"/>
      <c r="AK75" s="51">
        <f ca="1">SUM(AD75:AD$82,AG75:AG$82)/D75+SUM(AE76:AF$83,AH76:AH$82)/D75</f>
        <v>1557242.4548681618</v>
      </c>
      <c r="AL75" s="51">
        <f>SUM(AE76:$AF$83)*$G$14/D75</f>
        <v>50414.210507803567</v>
      </c>
      <c r="AM75" s="51"/>
      <c r="AN75" s="51">
        <f ca="1">-SUM(AD75:$AD$83,AH75:$AH$83)/D75</f>
        <v>123231.22872529046</v>
      </c>
      <c r="AO75" s="51">
        <f ca="1">-SUM(W75:$W$83,AA75:$AA$83)</f>
        <v>123889.87280394486</v>
      </c>
      <c r="AQ75" s="9">
        <f t="shared" ref="AQ75:AR75" ca="1" si="71">AK75-AK48</f>
        <v>200130.94353493559</v>
      </c>
      <c r="AR75" s="9">
        <f t="shared" si="71"/>
        <v>-22022.492223393871</v>
      </c>
      <c r="AS75" s="9">
        <f t="shared" ca="1" si="40"/>
        <v>31786.432738828764</v>
      </c>
    </row>
    <row r="76" spans="1:45" outlineLevel="1" x14ac:dyDescent="0.55000000000000004">
      <c r="A76" s="9"/>
      <c r="B76" s="1" t="s">
        <v>21</v>
      </c>
      <c r="C76" s="3">
        <v>10</v>
      </c>
      <c r="D76" s="87">
        <f t="shared" si="50"/>
        <v>0.95169890712867522</v>
      </c>
      <c r="E76" s="4"/>
      <c r="F76" s="84">
        <f t="shared" si="60"/>
        <v>0.76843347142091623</v>
      </c>
      <c r="G76" s="84">
        <f t="shared" si="61"/>
        <v>0.77868825301270328</v>
      </c>
      <c r="H76" s="154">
        <f t="shared" si="62"/>
        <v>0.73131729495238007</v>
      </c>
      <c r="I76" s="4"/>
      <c r="J76" s="98">
        <v>1</v>
      </c>
      <c r="K76" s="94">
        <f t="shared" si="63"/>
        <v>6.25E-2</v>
      </c>
      <c r="L76" s="47">
        <f t="shared" si="64"/>
        <v>0.77868825301270328</v>
      </c>
      <c r="M76" s="47">
        <f t="shared" si="65"/>
        <v>0.74107675938612705</v>
      </c>
      <c r="N76" s="4"/>
      <c r="O76" s="98">
        <v>1</v>
      </c>
      <c r="P76" s="94">
        <f t="shared" si="66"/>
        <v>6.25E-2</v>
      </c>
      <c r="Q76" s="155">
        <f t="shared" si="67"/>
        <v>0.77868825301270328</v>
      </c>
      <c r="R76" s="155">
        <f t="shared" si="68"/>
        <v>0.74107675938612705</v>
      </c>
      <c r="S76" s="51"/>
      <c r="T76" s="138">
        <v>5.0809898881113407E-3</v>
      </c>
      <c r="U76" s="136">
        <f t="shared" si="57"/>
        <v>5.0809898881113407E-3</v>
      </c>
      <c r="W76" s="63">
        <f t="shared" si="35"/>
        <v>-42027.28098525347</v>
      </c>
      <c r="X76" s="63">
        <f t="shared" si="58"/>
        <v>220468.69282753687</v>
      </c>
      <c r="Y76" s="63">
        <f t="shared" si="59"/>
        <v>43224.382767426541</v>
      </c>
      <c r="Z76" s="63">
        <v>0</v>
      </c>
      <c r="AA76" s="63">
        <f t="shared" ca="1" si="44"/>
        <v>0</v>
      </c>
      <c r="AB76" s="64">
        <f t="shared" ca="1" si="69"/>
        <v>221665.79460970993</v>
      </c>
      <c r="AC76" s="51"/>
      <c r="AD76" s="51">
        <f t="shared" si="36"/>
        <v>-39997.317383255482</v>
      </c>
      <c r="AE76" s="64">
        <f t="shared" si="46"/>
        <v>209819.81402005444</v>
      </c>
      <c r="AF76" s="64">
        <f t="shared" si="47"/>
        <v>41136.59784107138</v>
      </c>
      <c r="AG76" s="51">
        <f t="shared" si="37"/>
        <v>0</v>
      </c>
      <c r="AH76" s="64">
        <f t="shared" ca="1" si="48"/>
        <v>0</v>
      </c>
      <c r="AI76" s="64">
        <f t="shared" ca="1" si="70"/>
        <v>210959.09447787033</v>
      </c>
      <c r="AJ76" s="57"/>
      <c r="AK76" s="51">
        <f ca="1">SUM(AD76:AD$82,AG76:AG$82)/D76+SUM(AE77:AF$83,AH77:AH$82)/D76</f>
        <v>1337534.4214345145</v>
      </c>
      <c r="AL76" s="51">
        <f>SUM(AE77:$AF$83)*$G$14/D76</f>
        <v>42753.620517021984</v>
      </c>
      <c r="AM76" s="51"/>
      <c r="AN76" s="51">
        <f ca="1">-SUM(AD76:$AD$83,AH76:$AH$83)/D76</f>
        <v>87586.262466218352</v>
      </c>
      <c r="AO76" s="51">
        <f ca="1">-SUM(W76:$W$83,AA76:$AA$83)</f>
        <v>87812.368573853251</v>
      </c>
      <c r="AQ76" s="9">
        <f t="shared" ref="AQ76:AR76" ca="1" si="72">AK76-AK49</f>
        <v>192233.27633232553</v>
      </c>
      <c r="AR76" s="9">
        <f t="shared" si="72"/>
        <v>-17724.503963158604</v>
      </c>
      <c r="AS76" s="9">
        <f t="shared" ca="1" si="40"/>
        <v>23387.476968898161</v>
      </c>
    </row>
    <row r="77" spans="1:45" outlineLevel="1" x14ac:dyDescent="0.55000000000000004">
      <c r="A77" s="9"/>
      <c r="B77" s="1" t="s">
        <v>22</v>
      </c>
      <c r="C77" s="3">
        <v>11</v>
      </c>
      <c r="D77" s="87">
        <f t="shared" si="50"/>
        <v>0.94699901581330248</v>
      </c>
      <c r="E77" s="4"/>
      <c r="F77" s="84">
        <f t="shared" si="60"/>
        <v>0.74845708004256861</v>
      </c>
      <c r="G77" s="84">
        <f t="shared" si="61"/>
        <v>0.75844527573174236</v>
      </c>
      <c r="H77" s="154">
        <f t="shared" si="62"/>
        <v>0.7087881181788106</v>
      </c>
      <c r="I77" s="4"/>
      <c r="J77" s="98">
        <v>1</v>
      </c>
      <c r="K77" s="94">
        <f t="shared" si="63"/>
        <v>6.25E-2</v>
      </c>
      <c r="L77" s="47">
        <f t="shared" si="64"/>
        <v>0.75844527573174236</v>
      </c>
      <c r="M77" s="47">
        <f t="shared" si="65"/>
        <v>0.71824692966620884</v>
      </c>
      <c r="N77" s="4"/>
      <c r="O77" s="98">
        <v>1</v>
      </c>
      <c r="P77" s="94">
        <f t="shared" si="66"/>
        <v>6.25E-2</v>
      </c>
      <c r="Q77" s="155">
        <f t="shared" si="67"/>
        <v>0.75844527573174236</v>
      </c>
      <c r="R77" s="155">
        <f t="shared" si="68"/>
        <v>0.71824692966620884</v>
      </c>
      <c r="S77" s="51"/>
      <c r="T77" s="138">
        <v>6.0769058883075608E-3</v>
      </c>
      <c r="U77" s="136">
        <f t="shared" si="57"/>
        <v>6.0769058883075608E-3</v>
      </c>
      <c r="W77" s="63">
        <f t="shared" si="35"/>
        <v>-45785.087588599774</v>
      </c>
      <c r="X77" s="63">
        <f t="shared" si="58"/>
        <v>215005.25262176839</v>
      </c>
      <c r="Y77" s="63">
        <f t="shared" si="59"/>
        <v>42100.710752394487</v>
      </c>
      <c r="Z77" s="63">
        <v>0</v>
      </c>
      <c r="AA77" s="63">
        <f t="shared" ca="1" si="44"/>
        <v>0</v>
      </c>
      <c r="AB77" s="64">
        <f t="shared" ca="1" si="69"/>
        <v>211320.87578556311</v>
      </c>
      <c r="AC77" s="51"/>
      <c r="AD77" s="51">
        <f t="shared" si="36"/>
        <v>-43358.432885329836</v>
      </c>
      <c r="AE77" s="64">
        <f t="shared" si="46"/>
        <v>203609.76262750514</v>
      </c>
      <c r="AF77" s="64">
        <f t="shared" si="47"/>
        <v>39869.331647558101</v>
      </c>
      <c r="AG77" s="51">
        <f t="shared" si="37"/>
        <v>0</v>
      </c>
      <c r="AH77" s="64">
        <f t="shared" ca="1" si="48"/>
        <v>0</v>
      </c>
      <c r="AI77" s="64">
        <f t="shared" ca="1" si="70"/>
        <v>200120.6613897334</v>
      </c>
      <c r="AJ77" s="57"/>
      <c r="AK77" s="51">
        <f ca="1">SUM(AD77:AD$82,AG77:AG$82)/D77+SUM(AE78:AF$83,AH78:AH$82)/D77</f>
        <v>1129302.4093757269</v>
      </c>
      <c r="AL77" s="51">
        <f>SUM(AE78:$AF$83)*$G$14/D77</f>
        <v>35252.6249089298</v>
      </c>
      <c r="AM77" s="51"/>
      <c r="AN77" s="51">
        <f ca="1">-SUM(AD77:$AD$83,AH77:$AH$83)/D77</f>
        <v>45785.087588599774</v>
      </c>
      <c r="AO77" s="51">
        <f ca="1">-SUM(W77:$W$83,AA77:$AA$83)</f>
        <v>45785.087588599774</v>
      </c>
      <c r="AQ77" s="9">
        <f t="shared" ref="AQ77:AR77" ca="1" si="73">AK77-AK50</f>
        <v>180315.11678241391</v>
      </c>
      <c r="AR77" s="9">
        <f t="shared" si="73"/>
        <v>-13852.603540252472</v>
      </c>
      <c r="AS77" s="9">
        <f t="shared" ca="1" si="40"/>
        <v>12667.811198267416</v>
      </c>
    </row>
    <row r="78" spans="1:45" outlineLevel="1" x14ac:dyDescent="0.55000000000000004">
      <c r="A78" s="9"/>
      <c r="B78" s="1" t="s">
        <v>23</v>
      </c>
      <c r="C78" s="3">
        <v>12</v>
      </c>
      <c r="D78" s="87">
        <f t="shared" si="50"/>
        <v>0.94232233454704384</v>
      </c>
      <c r="E78" s="4"/>
      <c r="F78" s="84">
        <f t="shared" si="60"/>
        <v>0.72900000000000009</v>
      </c>
      <c r="G78" s="84">
        <f t="shared" si="61"/>
        <v>0.73872854002128441</v>
      </c>
      <c r="H78" s="154">
        <f t="shared" si="62"/>
        <v>0.68695298188479503</v>
      </c>
      <c r="I78" s="4"/>
      <c r="J78" s="98">
        <v>1</v>
      </c>
      <c r="K78" s="94">
        <f t="shared" si="63"/>
        <v>6.25E-2</v>
      </c>
      <c r="L78" s="47">
        <f t="shared" si="64"/>
        <v>0.73872854002128441</v>
      </c>
      <c r="M78" s="47">
        <f t="shared" si="65"/>
        <v>0.696120402429386</v>
      </c>
      <c r="N78" s="4"/>
      <c r="O78" s="98">
        <v>1</v>
      </c>
      <c r="P78" s="94">
        <f t="shared" si="66"/>
        <v>6.25E-2</v>
      </c>
      <c r="Q78" s="155">
        <f t="shared" si="67"/>
        <v>0.73872854002128441</v>
      </c>
      <c r="R78" s="155">
        <f t="shared" si="68"/>
        <v>0.696120402429386</v>
      </c>
      <c r="S78" s="51"/>
      <c r="T78" s="138">
        <v>6.7969588236102014E-3</v>
      </c>
      <c r="U78" s="136">
        <f t="shared" si="57"/>
        <v>6.7969588236102014E-3</v>
      </c>
      <c r="W78" s="63">
        <f t="shared" si="35"/>
        <v>0</v>
      </c>
      <c r="X78" s="63">
        <f t="shared" si="58"/>
        <v>209677.20206474859</v>
      </c>
      <c r="Y78" s="63">
        <f t="shared" si="59"/>
        <v>41006.250000000007</v>
      </c>
      <c r="Z78" s="63">
        <v>0</v>
      </c>
      <c r="AA78" s="63">
        <f t="shared" ca="1" si="44"/>
        <v>0</v>
      </c>
      <c r="AB78" s="64">
        <f t="shared" ca="1" si="69"/>
        <v>250683.45206474859</v>
      </c>
      <c r="AC78" s="51"/>
      <c r="AD78" s="51">
        <f t="shared" si="36"/>
        <v>0</v>
      </c>
      <c r="AE78" s="64">
        <f t="shared" si="46"/>
        <v>197583.51055094614</v>
      </c>
      <c r="AF78" s="64">
        <f t="shared" si="47"/>
        <v>38641.105231019726</v>
      </c>
      <c r="AG78" s="51">
        <f t="shared" si="37"/>
        <v>0</v>
      </c>
      <c r="AH78" s="64">
        <f t="shared" ca="1" si="48"/>
        <v>0</v>
      </c>
      <c r="AI78" s="64">
        <f t="shared" ca="1" si="70"/>
        <v>236224.61578196587</v>
      </c>
      <c r="AJ78" s="57"/>
      <c r="AK78" s="51">
        <f ca="1">SUM(AD78:AD$82,AG78:AG$82)/D78+SUM(AE79:AF$83,AH79:AH$82)/D78</f>
        <v>930235.92373953946</v>
      </c>
      <c r="AL78" s="51">
        <f>SUM(AE79:$AF$83)*$G$14/D78</f>
        <v>27907.077712186183</v>
      </c>
      <c r="AM78" s="51"/>
      <c r="AN78" s="51">
        <f ca="1">-SUM(AD78:$AD$83,AH78:$AH$83)/D78</f>
        <v>0</v>
      </c>
      <c r="AO78" s="51">
        <f ca="1">-SUM(W78:$W$83,AA78:$AA$83)</f>
        <v>0</v>
      </c>
      <c r="AQ78" s="9">
        <f t="shared" ref="AQ78:AR78" ca="1" si="74">AK78-AK51</f>
        <v>164493.24978229753</v>
      </c>
      <c r="AR78" s="9">
        <f t="shared" si="74"/>
        <v>-10380.055985675921</v>
      </c>
      <c r="AS78" s="9">
        <f t="shared" ca="1" si="40"/>
        <v>0</v>
      </c>
    </row>
    <row r="79" spans="1:45" outlineLevel="1" x14ac:dyDescent="0.55000000000000004">
      <c r="A79" s="9"/>
      <c r="B79" s="1" t="s">
        <v>24</v>
      </c>
      <c r="C79" s="3">
        <v>13</v>
      </c>
      <c r="D79" s="87">
        <f t="shared" si="50"/>
        <v>0.93766874870887007</v>
      </c>
      <c r="E79" s="4"/>
      <c r="F79" s="84">
        <f t="shared" si="60"/>
        <v>0.71004873114404132</v>
      </c>
      <c r="G79" s="84">
        <f t="shared" si="61"/>
        <v>0.71952436557202071</v>
      </c>
      <c r="H79" s="154">
        <f t="shared" si="62"/>
        <v>0.66579050525415417</v>
      </c>
      <c r="I79" s="4"/>
      <c r="J79" s="98">
        <v>1</v>
      </c>
      <c r="K79" s="94">
        <f t="shared" si="63"/>
        <v>6.25E-2</v>
      </c>
      <c r="L79" s="47">
        <f t="shared" si="64"/>
        <v>0.71952436557202071</v>
      </c>
      <c r="M79" s="47">
        <f t="shared" si="65"/>
        <v>0.67467551153146021</v>
      </c>
      <c r="N79" s="4"/>
      <c r="O79" s="98">
        <v>1</v>
      </c>
      <c r="P79" s="94">
        <f t="shared" si="66"/>
        <v>6.25E-2</v>
      </c>
      <c r="Q79" s="155">
        <f t="shared" si="67"/>
        <v>0.71952436557202071</v>
      </c>
      <c r="R79" s="155">
        <f t="shared" si="68"/>
        <v>0.67467551153146021</v>
      </c>
      <c r="S79" s="51"/>
      <c r="T79" s="138">
        <v>0</v>
      </c>
      <c r="U79" s="136">
        <f t="shared" si="57"/>
        <v>0</v>
      </c>
      <c r="W79" s="63">
        <f t="shared" si="35"/>
        <v>0</v>
      </c>
      <c r="X79" s="63">
        <f t="shared" si="58"/>
        <v>204481.18606219659</v>
      </c>
      <c r="Y79" s="63">
        <f t="shared" si="59"/>
        <v>39940.241126852321</v>
      </c>
      <c r="Z79" s="63">
        <v>0</v>
      </c>
      <c r="AA79" s="63">
        <f t="shared" ca="1" si="44"/>
        <v>0</v>
      </c>
      <c r="AB79" s="64">
        <f t="shared" ca="1" si="69"/>
        <v>244421.4271890489</v>
      </c>
      <c r="AC79" s="51"/>
      <c r="AD79" s="51">
        <f t="shared" si="36"/>
        <v>0</v>
      </c>
      <c r="AE79" s="64">
        <f t="shared" si="46"/>
        <v>191735.61786944553</v>
      </c>
      <c r="AF79" s="64">
        <f t="shared" si="47"/>
        <v>37450.715920546165</v>
      </c>
      <c r="AG79" s="51">
        <f t="shared" si="37"/>
        <v>0</v>
      </c>
      <c r="AH79" s="64">
        <f t="shared" ca="1" si="48"/>
        <v>0</v>
      </c>
      <c r="AI79" s="64">
        <f t="shared" ca="1" si="70"/>
        <v>229186.33378999168</v>
      </c>
      <c r="AJ79" s="57"/>
      <c r="AK79" s="51">
        <f ca="1">SUM(AD79:AD$82,AG79:AG$82)/D79+SUM(AE80:AF$83,AH80:AH$82)/D79</f>
        <v>690431.19378694589</v>
      </c>
      <c r="AL79" s="51">
        <f>SUM(AE80:$AF$83)*$G$14/D79</f>
        <v>20712.935813608379</v>
      </c>
      <c r="AM79" s="51"/>
      <c r="AN79" s="51">
        <f ca="1">-SUM(AD79:$AD$83,AH79:$AH$83)/D79</f>
        <v>0</v>
      </c>
      <c r="AO79" s="51">
        <f ca="1">-SUM(W79:$W$83,AA79:$AA$83)</f>
        <v>0</v>
      </c>
      <c r="AQ79" s="9">
        <f t="shared" ref="AQ79:AR79" ca="1" si="75">AK79-AK52</f>
        <v>130539.66483372648</v>
      </c>
      <c r="AR79" s="9">
        <f t="shared" si="75"/>
        <v>-7281.64063405259</v>
      </c>
      <c r="AS79" s="9">
        <f t="shared" ca="1" si="40"/>
        <v>0</v>
      </c>
    </row>
    <row r="80" spans="1:45" outlineLevel="1" x14ac:dyDescent="0.55000000000000004">
      <c r="A80" s="9"/>
      <c r="B80" s="1" t="s">
        <v>25</v>
      </c>
      <c r="C80" s="3">
        <v>14</v>
      </c>
      <c r="D80" s="87">
        <f t="shared" si="50"/>
        <v>0.93303814424379905</v>
      </c>
      <c r="E80" s="4"/>
      <c r="F80" s="84">
        <f t="shared" si="60"/>
        <v>0.6915901242788246</v>
      </c>
      <c r="G80" s="84">
        <f t="shared" si="61"/>
        <v>0.70081942771143302</v>
      </c>
      <c r="H80" s="154">
        <f t="shared" si="62"/>
        <v>0.64527996613445282</v>
      </c>
      <c r="I80" s="4"/>
      <c r="J80" s="98">
        <v>1</v>
      </c>
      <c r="K80" s="94">
        <f t="shared" si="63"/>
        <v>6.25E-2</v>
      </c>
      <c r="L80" s="47">
        <f t="shared" si="64"/>
        <v>0.70081942771143302</v>
      </c>
      <c r="M80" s="47">
        <f t="shared" si="65"/>
        <v>0.65389125828187677</v>
      </c>
      <c r="N80" s="4"/>
      <c r="O80" s="98">
        <v>1</v>
      </c>
      <c r="P80" s="94">
        <f t="shared" si="66"/>
        <v>6.25E-2</v>
      </c>
      <c r="Q80" s="155">
        <f t="shared" si="67"/>
        <v>0.70081942771143302</v>
      </c>
      <c r="R80" s="155">
        <f t="shared" si="68"/>
        <v>0.65389125828187677</v>
      </c>
      <c r="S80" s="51"/>
      <c r="T80" s="138">
        <v>0</v>
      </c>
      <c r="U80" s="136">
        <f t="shared" si="57"/>
        <v>0</v>
      </c>
      <c r="W80" s="63">
        <f t="shared" si="35"/>
        <v>0</v>
      </c>
      <c r="X80" s="63">
        <f t="shared" si="58"/>
        <v>199413.93266250708</v>
      </c>
      <c r="Y80" s="63">
        <f t="shared" si="59"/>
        <v>38901.944490683883</v>
      </c>
      <c r="Z80" s="63">
        <v>0</v>
      </c>
      <c r="AA80" s="63">
        <f t="shared" ca="1" si="44"/>
        <v>0</v>
      </c>
      <c r="AB80" s="64">
        <f t="shared" ca="1" si="69"/>
        <v>238315.87715319096</v>
      </c>
      <c r="AC80" s="51"/>
      <c r="AD80" s="51">
        <f t="shared" si="36"/>
        <v>0</v>
      </c>
      <c r="AE80" s="64">
        <f t="shared" si="46"/>
        <v>186060.80566778351</v>
      </c>
      <c r="AF80" s="64">
        <f t="shared" si="47"/>
        <v>36296.998095062976</v>
      </c>
      <c r="AG80" s="51">
        <f t="shared" si="37"/>
        <v>0</v>
      </c>
      <c r="AH80" s="64">
        <f t="shared" ca="1" si="48"/>
        <v>0</v>
      </c>
      <c r="AI80" s="64">
        <f t="shared" ca="1" si="70"/>
        <v>222357.80376284648</v>
      </c>
      <c r="AJ80" s="57"/>
      <c r="AK80" s="51">
        <f ca="1">SUM(AD80:AD$82,AG80:AG$82)/D80+SUM(AE81:AF$83,AH81:AH$82)/D80</f>
        <v>455541.87940452487</v>
      </c>
      <c r="AL80" s="51">
        <f>SUM(AE81:$AF$83)*$G$14/D80</f>
        <v>13666.256382135745</v>
      </c>
      <c r="AM80" s="51"/>
      <c r="AN80" s="51">
        <f ca="1">-SUM(AD80:$AD$83,AH80:$AH$83)/D80</f>
        <v>0</v>
      </c>
      <c r="AO80" s="51">
        <f ca="1">-SUM(W80:$W$83,AA80:$AA$83)</f>
        <v>0</v>
      </c>
      <c r="AQ80" s="9">
        <f t="shared" ref="AQ80:AR80" ca="1" si="76">AK80-AK53</f>
        <v>91545.373223156726</v>
      </c>
      <c r="AR80" s="9">
        <f t="shared" si="76"/>
        <v>-4533.5689269326595</v>
      </c>
      <c r="AS80" s="9">
        <f t="shared" ca="1" si="40"/>
        <v>0</v>
      </c>
    </row>
    <row r="81" spans="1:45" outlineLevel="1" x14ac:dyDescent="0.55000000000000004">
      <c r="A81" s="9"/>
      <c r="B81" s="1" t="s">
        <v>26</v>
      </c>
      <c r="C81" s="3">
        <v>15</v>
      </c>
      <c r="D81" s="87">
        <f t="shared" si="50"/>
        <v>0.92843040766010021</v>
      </c>
      <c r="E81" s="4"/>
      <c r="F81" s="84">
        <f t="shared" si="60"/>
        <v>0.67361137203831178</v>
      </c>
      <c r="G81" s="84">
        <f t="shared" si="61"/>
        <v>0.68260074815856819</v>
      </c>
      <c r="H81" s="154">
        <f t="shared" si="62"/>
        <v>0.6254012807460092</v>
      </c>
      <c r="I81" s="4"/>
      <c r="J81" s="98">
        <v>1</v>
      </c>
      <c r="K81" s="94">
        <f t="shared" si="63"/>
        <v>6.25E-2</v>
      </c>
      <c r="L81" s="47">
        <f t="shared" si="64"/>
        <v>0.68260074815856819</v>
      </c>
      <c r="M81" s="47">
        <f t="shared" si="65"/>
        <v>0.63374729088194881</v>
      </c>
      <c r="N81" s="4"/>
      <c r="O81" s="98">
        <v>1</v>
      </c>
      <c r="P81" s="94">
        <f t="shared" si="66"/>
        <v>6.25E-2</v>
      </c>
      <c r="Q81" s="155">
        <f t="shared" si="67"/>
        <v>0.68260074815856819</v>
      </c>
      <c r="R81" s="155">
        <f t="shared" si="68"/>
        <v>0.63374729088194881</v>
      </c>
      <c r="S81" s="51"/>
      <c r="T81" s="138">
        <v>0</v>
      </c>
      <c r="U81" s="136">
        <f t="shared" si="57"/>
        <v>0</v>
      </c>
      <c r="W81" s="63">
        <f t="shared" si="35"/>
        <v>0</v>
      </c>
      <c r="X81" s="63">
        <f t="shared" si="58"/>
        <v>194472.25099638948</v>
      </c>
      <c r="Y81" s="63">
        <f t="shared" si="59"/>
        <v>37890.639677155035</v>
      </c>
      <c r="Z81" s="63">
        <v>0</v>
      </c>
      <c r="AA81" s="63">
        <f t="shared" ca="1" si="44"/>
        <v>0</v>
      </c>
      <c r="AB81" s="64">
        <f t="shared" ca="1" si="69"/>
        <v>232362.89067354452</v>
      </c>
      <c r="AC81" s="51"/>
      <c r="AD81" s="51">
        <f t="shared" si="36"/>
        <v>0</v>
      </c>
      <c r="AE81" s="64">
        <f t="shared" si="46"/>
        <v>180553.95127115521</v>
      </c>
      <c r="AF81" s="64">
        <f t="shared" si="47"/>
        <v>35178.822041963016</v>
      </c>
      <c r="AG81" s="51">
        <f t="shared" si="37"/>
        <v>0</v>
      </c>
      <c r="AH81" s="64">
        <f t="shared" ca="1" si="48"/>
        <v>0</v>
      </c>
      <c r="AI81" s="64">
        <f t="shared" ca="1" si="70"/>
        <v>215732.77331311823</v>
      </c>
      <c r="AJ81" s="57"/>
      <c r="AK81" s="51">
        <f ca="1">SUM(AD81:AD$82,AG81:AG$82)/D81+SUM(AE82:AF$83,AH82:AH$82)/D81</f>
        <v>225439.81190719374</v>
      </c>
      <c r="AL81" s="51">
        <f>SUM(AE82:$AF$83)*$G$14/D81</f>
        <v>6763.1943572158116</v>
      </c>
      <c r="AM81" s="51"/>
      <c r="AN81" s="51">
        <f ca="1">-SUM(AD81:$AD$83,AH81:$AH$83)/D81</f>
        <v>0</v>
      </c>
      <c r="AO81" s="51">
        <f ca="1">-SUM(W81:$W$83,AA81:$AA$83)</f>
        <v>0</v>
      </c>
      <c r="AQ81" s="9">
        <f t="shared" ref="AQ81:AR81" ca="1" si="77">AK81-AK54</f>
        <v>47907.792827538709</v>
      </c>
      <c r="AR81" s="9">
        <f t="shared" si="77"/>
        <v>-2113.4065967669403</v>
      </c>
      <c r="AS81" s="9">
        <f t="shared" ca="1" si="40"/>
        <v>0</v>
      </c>
    </row>
    <row r="82" spans="1:45" outlineLevel="1" x14ac:dyDescent="0.55000000000000004">
      <c r="A82" s="9"/>
      <c r="B82" s="1" t="s">
        <v>27</v>
      </c>
      <c r="C82" s="3">
        <v>16</v>
      </c>
      <c r="D82" s="87">
        <f t="shared" si="50"/>
        <v>0.92384542602651332</v>
      </c>
      <c r="E82" s="4"/>
      <c r="F82" s="84">
        <f t="shared" si="60"/>
        <v>0.65610000000000013</v>
      </c>
      <c r="G82" s="84">
        <f t="shared" si="61"/>
        <v>0.6648556860191559</v>
      </c>
      <c r="H82" s="154">
        <f t="shared" si="62"/>
        <v>0.60613498401599553</v>
      </c>
      <c r="I82" s="4"/>
      <c r="J82" s="98">
        <v>1</v>
      </c>
      <c r="K82" s="94">
        <f t="shared" si="63"/>
        <v>6.25E-2</v>
      </c>
      <c r="L82" s="47">
        <f t="shared" si="64"/>
        <v>0.6648556860191559</v>
      </c>
      <c r="M82" s="47">
        <f t="shared" si="65"/>
        <v>0.61422388449651688</v>
      </c>
      <c r="N82" s="4"/>
      <c r="O82" s="98">
        <v>1</v>
      </c>
      <c r="P82" s="94">
        <f t="shared" si="66"/>
        <v>6.25E-2</v>
      </c>
      <c r="Q82" s="155">
        <f t="shared" si="67"/>
        <v>0.6648556860191559</v>
      </c>
      <c r="R82" s="155">
        <f t="shared" si="68"/>
        <v>0.61422388449651688</v>
      </c>
      <c r="S82" s="51"/>
      <c r="T82" s="138">
        <v>0</v>
      </c>
      <c r="U82" s="136">
        <f t="shared" si="57"/>
        <v>0</v>
      </c>
      <c r="W82" s="63">
        <f t="shared" si="35"/>
        <v>0</v>
      </c>
      <c r="X82" s="63">
        <f t="shared" si="58"/>
        <v>189653.02926756509</v>
      </c>
      <c r="Y82" s="63">
        <f t="shared" si="59"/>
        <v>36905.625000000007</v>
      </c>
      <c r="Z82" s="63">
        <v>0</v>
      </c>
      <c r="AA82" s="63">
        <f t="shared" ca="1" si="44"/>
        <v>0</v>
      </c>
      <c r="AB82" s="64">
        <f t="shared" ca="1" si="69"/>
        <v>226558.65426756509</v>
      </c>
      <c r="AC82" s="51"/>
      <c r="AD82" s="51">
        <f t="shared" si="36"/>
        <v>0</v>
      </c>
      <c r="AE82" s="64">
        <f t="shared" si="46"/>
        <v>175210.08362091245</v>
      </c>
      <c r="AF82" s="64">
        <f t="shared" si="47"/>
        <v>34095.092850899746</v>
      </c>
      <c r="AG82" s="51">
        <f t="shared" si="37"/>
        <v>0</v>
      </c>
      <c r="AH82" s="64">
        <f t="shared" ca="1" si="48"/>
        <v>0</v>
      </c>
      <c r="AI82" s="64">
        <f t="shared" ca="1" si="70"/>
        <v>209305.17647181218</v>
      </c>
      <c r="AJ82" s="57"/>
      <c r="AK82" s="51">
        <f ca="1">SUM(AD82:AD$82,AG82:AG$82)/D82+SUM(AE83:AF$83,AH$82:AH83)/D82</f>
        <v>0</v>
      </c>
      <c r="AL82" s="51">
        <f>SUM(AE83:$AF$83)*$G$14/D82</f>
        <v>0</v>
      </c>
      <c r="AM82" s="51"/>
      <c r="AN82" s="51">
        <f ca="1">-SUM(AD82:$AD$83,AH82:$AH$83)/D82</f>
        <v>0</v>
      </c>
      <c r="AO82" s="51">
        <f ca="1">-SUM(W82:$W$83,AA82:$AA$83)</f>
        <v>0</v>
      </c>
      <c r="AQ82" s="9">
        <f t="shared" ref="AQ82:AR82" ca="1" si="78">AK82-AK55</f>
        <v>0</v>
      </c>
      <c r="AR82" s="9">
        <f t="shared" si="78"/>
        <v>0</v>
      </c>
      <c r="AS82" s="9">
        <f t="shared" ca="1" si="40"/>
        <v>0</v>
      </c>
    </row>
    <row r="83" spans="1:45" outlineLevel="1" x14ac:dyDescent="0.55000000000000004">
      <c r="B83" s="8"/>
      <c r="C83" s="6"/>
      <c r="D83" s="7"/>
      <c r="E83" s="2"/>
      <c r="F83" s="85"/>
      <c r="G83" s="85"/>
      <c r="H83" s="79"/>
      <c r="I83" s="2"/>
      <c r="J83" s="6"/>
      <c r="K83" s="6"/>
      <c r="L83" s="71"/>
      <c r="M83" s="90"/>
      <c r="N83" s="2"/>
      <c r="O83" s="12"/>
      <c r="P83" s="12"/>
      <c r="Q83" s="50"/>
      <c r="R83" s="90"/>
      <c r="S83" s="55"/>
      <c r="T83" s="137"/>
      <c r="U83" s="137"/>
      <c r="W83" s="66"/>
      <c r="X83" s="66"/>
      <c r="Y83" s="66"/>
      <c r="Z83" s="66"/>
      <c r="AA83" s="66"/>
      <c r="AB83" s="66"/>
      <c r="AC83" s="55"/>
      <c r="AD83" s="67"/>
      <c r="AE83" s="68"/>
      <c r="AF83" s="68"/>
      <c r="AG83" s="67"/>
      <c r="AH83" s="67"/>
      <c r="AI83" s="68"/>
      <c r="AJ83" s="57"/>
      <c r="AK83" s="67"/>
      <c r="AL83" s="67"/>
      <c r="AM83" s="51"/>
      <c r="AN83" s="122"/>
      <c r="AO83" s="122"/>
      <c r="AQ83" s="67"/>
      <c r="AR83" s="67"/>
      <c r="AS83" s="67"/>
    </row>
    <row r="84" spans="1:45" outlineLevel="1" x14ac:dyDescent="0.55000000000000004">
      <c r="A84" s="9"/>
      <c r="B84" s="4"/>
      <c r="C84" s="4"/>
      <c r="D84" s="4"/>
      <c r="E84" s="4"/>
      <c r="F84" s="3"/>
      <c r="G84" s="3"/>
      <c r="H84" s="4"/>
      <c r="I84" s="4"/>
      <c r="J84" s="4"/>
      <c r="K84" s="4"/>
      <c r="L84" s="51"/>
      <c r="M84" s="51"/>
      <c r="N84" s="4"/>
      <c r="O84" s="4"/>
      <c r="P84" s="4"/>
      <c r="Q84" s="51"/>
      <c r="R84" s="51"/>
      <c r="S84" s="51"/>
      <c r="T84" s="4"/>
      <c r="U84" s="4"/>
      <c r="W84" s="51"/>
      <c r="X84" s="51"/>
      <c r="Y84" s="51"/>
      <c r="Z84" s="51"/>
      <c r="AA84" s="51"/>
      <c r="AB84" s="51"/>
      <c r="AC84" s="51"/>
      <c r="AD84" s="51"/>
      <c r="AE84" s="51"/>
      <c r="AF84" s="51"/>
      <c r="AG84" s="51"/>
      <c r="AH84" s="51"/>
      <c r="AI84" s="51"/>
      <c r="AJ84" s="57"/>
      <c r="AK84" s="51"/>
      <c r="AL84" s="51"/>
      <c r="AM84" s="51"/>
      <c r="AN84" s="70"/>
      <c r="AO84" s="70"/>
      <c r="AQ84" s="51"/>
      <c r="AR84" s="51"/>
      <c r="AS84" s="51"/>
    </row>
    <row r="85" spans="1:45" outlineLevel="1" x14ac:dyDescent="0.55000000000000004">
      <c r="A85" s="9"/>
      <c r="B85" s="24"/>
      <c r="C85" s="24"/>
      <c r="D85" s="25"/>
      <c r="E85" s="4"/>
      <c r="F85" s="26"/>
      <c r="G85" s="26"/>
      <c r="H85" s="26"/>
      <c r="I85" s="4"/>
      <c r="J85" s="80">
        <f>SUM(J67:J82)</f>
        <v>16</v>
      </c>
      <c r="K85" s="95">
        <f>SUM(K67:K82)</f>
        <v>1</v>
      </c>
      <c r="L85" s="81">
        <f>SUM(L67:L82)</f>
        <v>12.537953642112248</v>
      </c>
      <c r="M85" s="81">
        <f>SUM(M67:M82)</f>
        <v>12.049806761297376</v>
      </c>
      <c r="N85" s="4"/>
      <c r="O85" s="80">
        <f>SUM(O67:O82)</f>
        <v>16</v>
      </c>
      <c r="P85" s="95">
        <f>SUM(P67:P82)</f>
        <v>1</v>
      </c>
      <c r="Q85" s="81">
        <f>SUM(Q67:Q82)</f>
        <v>12.537953642112248</v>
      </c>
      <c r="R85" s="81">
        <f>SUM(R67:R82)</f>
        <v>12.049806761297376</v>
      </c>
      <c r="S85" s="52"/>
      <c r="T85" s="80">
        <f>SUM(T67:T82)</f>
        <v>1</v>
      </c>
      <c r="U85" s="95">
        <f>SUM(U67:U82)</f>
        <v>1</v>
      </c>
      <c r="W85" s="52">
        <f t="shared" ref="W85:AB85" si="79">SUM(W66:W82)</f>
        <v>-8014750.776667404</v>
      </c>
      <c r="X85" s="52">
        <f t="shared" si="79"/>
        <v>3816123.5079742712</v>
      </c>
      <c r="Y85" s="52">
        <f t="shared" si="79"/>
        <v>835037.10379638313</v>
      </c>
      <c r="Z85" s="52">
        <f t="shared" si="79"/>
        <v>-900000</v>
      </c>
      <c r="AA85" s="52">
        <f t="shared" ca="1" si="79"/>
        <v>0</v>
      </c>
      <c r="AB85" s="52">
        <f t="shared" ca="1" si="79"/>
        <v>-4263590.1648967499</v>
      </c>
      <c r="AC85" s="51"/>
      <c r="AD85" s="52">
        <f t="shared" ref="AD85:AI85" si="80">SUM(AD66:AD82)</f>
        <v>-7928538.5757001257</v>
      </c>
      <c r="AE85" s="52">
        <f t="shared" si="80"/>
        <v>3672923.6176001341</v>
      </c>
      <c r="AF85" s="52">
        <f t="shared" si="80"/>
        <v>805598.41111821902</v>
      </c>
      <c r="AG85" s="52">
        <f t="shared" si="80"/>
        <v>-900000</v>
      </c>
      <c r="AH85" s="52">
        <f t="shared" ca="1" si="80"/>
        <v>0</v>
      </c>
      <c r="AI85" s="52">
        <f t="shared" ca="1" si="80"/>
        <v>-4350016.5469817705</v>
      </c>
      <c r="AJ85" s="52"/>
      <c r="AK85" s="52"/>
      <c r="AL85" s="52"/>
      <c r="AM85" s="51"/>
      <c r="AN85" s="70"/>
      <c r="AO85" s="70"/>
      <c r="AQ85" s="52"/>
      <c r="AR85" s="52"/>
      <c r="AS85" s="52"/>
    </row>
    <row r="86" spans="1:45" ht="15.3" x14ac:dyDescent="0.55000000000000004">
      <c r="A86" s="9"/>
      <c r="B86" s="24"/>
      <c r="C86" s="24"/>
      <c r="D86" s="4"/>
      <c r="E86" s="4"/>
      <c r="F86" s="4"/>
      <c r="G86" s="4"/>
      <c r="H86" s="4"/>
      <c r="I86" s="4"/>
      <c r="J86" s="24"/>
      <c r="K86" s="24"/>
      <c r="L86" s="52"/>
      <c r="M86" s="52"/>
      <c r="N86" s="4"/>
      <c r="O86" s="24"/>
      <c r="P86" s="24"/>
      <c r="Q86" s="52"/>
      <c r="R86" s="52"/>
      <c r="S86" s="51"/>
      <c r="W86" s="52"/>
      <c r="X86" s="72"/>
      <c r="Y86" s="72"/>
      <c r="Z86" s="52"/>
      <c r="AA86" s="52"/>
      <c r="AB86" s="52"/>
      <c r="AC86" s="51"/>
      <c r="AD86" s="52"/>
      <c r="AE86" s="73"/>
      <c r="AF86" s="73"/>
      <c r="AG86" s="52"/>
      <c r="AH86" s="52"/>
      <c r="AI86" s="52"/>
      <c r="AJ86" s="57"/>
      <c r="AK86" s="52"/>
      <c r="AL86" s="52"/>
      <c r="AM86" s="52"/>
      <c r="AN86" s="70"/>
      <c r="AO86" s="70"/>
    </row>
    <row r="87" spans="1:45" ht="15.3" x14ac:dyDescent="0.55000000000000004">
      <c r="A87" s="9"/>
      <c r="B87" s="24"/>
      <c r="C87" s="24"/>
      <c r="D87" s="4"/>
      <c r="E87" s="4"/>
      <c r="F87" s="4"/>
      <c r="G87" s="4"/>
      <c r="H87" s="4"/>
      <c r="I87" s="4"/>
      <c r="J87" s="24"/>
      <c r="K87" s="24"/>
      <c r="L87" s="52"/>
      <c r="M87" s="52"/>
      <c r="N87" s="4"/>
      <c r="O87" s="24"/>
      <c r="P87" s="24"/>
      <c r="Q87" s="52"/>
      <c r="R87" s="52"/>
      <c r="S87" s="51"/>
      <c r="W87" s="52"/>
      <c r="X87" s="72"/>
      <c r="Y87" s="72"/>
      <c r="Z87" s="52"/>
      <c r="AA87" s="52"/>
      <c r="AB87" s="52"/>
      <c r="AC87" s="51"/>
      <c r="AD87" s="52"/>
      <c r="AE87" s="73"/>
      <c r="AF87" s="73"/>
      <c r="AG87" s="52"/>
      <c r="AH87" s="52"/>
      <c r="AI87" s="52"/>
      <c r="AJ87" s="57"/>
      <c r="AK87" s="52"/>
      <c r="AL87" s="52"/>
      <c r="AM87" s="52"/>
      <c r="AN87" s="70"/>
      <c r="AO87" s="70"/>
    </row>
    <row r="88" spans="1:45" ht="18.3" x14ac:dyDescent="0.55000000000000004">
      <c r="A88" s="2"/>
      <c r="B88" s="144" t="s">
        <v>173</v>
      </c>
      <c r="C88" s="108"/>
      <c r="D88" s="109"/>
      <c r="H88" s="106"/>
      <c r="J88" s="2"/>
      <c r="K88" s="2"/>
      <c r="N88" s="2"/>
      <c r="O88" s="2"/>
      <c r="P88" s="2"/>
      <c r="Q88" s="2"/>
      <c r="S88" s="2"/>
      <c r="W88" s="55"/>
      <c r="X88" s="55"/>
      <c r="Y88" s="55"/>
      <c r="Z88" s="55"/>
      <c r="AA88" s="55"/>
      <c r="AB88" s="55"/>
      <c r="AC88" s="2"/>
      <c r="AD88" s="22"/>
      <c r="AE88" s="2"/>
      <c r="AF88" s="2"/>
      <c r="AG88" s="2"/>
      <c r="AH88" s="2"/>
      <c r="AI88" s="2"/>
      <c r="AJ88" s="21"/>
      <c r="AK88" s="2"/>
      <c r="AL88" s="2"/>
      <c r="AM88" s="2"/>
      <c r="AN88" s="70"/>
      <c r="AO88" s="70"/>
    </row>
    <row r="89" spans="1:45" outlineLevel="1" x14ac:dyDescent="0.55000000000000004">
      <c r="D89" s="2"/>
      <c r="E89" s="2"/>
      <c r="F89" s="2"/>
      <c r="G89" s="2"/>
      <c r="H89" s="2"/>
      <c r="I89" s="2"/>
      <c r="J89" s="2"/>
      <c r="K89" s="2"/>
      <c r="L89" s="2"/>
      <c r="M89" s="2"/>
      <c r="N89" s="2"/>
      <c r="O89" s="2"/>
      <c r="P89" s="2"/>
      <c r="Q89" s="2"/>
      <c r="R89" s="2"/>
      <c r="S89" s="2"/>
      <c r="W89" s="55"/>
      <c r="X89" s="55"/>
      <c r="Y89" s="55"/>
      <c r="Z89" s="55"/>
      <c r="AA89" s="114"/>
      <c r="AB89" s="115"/>
      <c r="AC89" s="2"/>
      <c r="AD89" s="2"/>
      <c r="AE89" s="2"/>
      <c r="AF89" s="2"/>
      <c r="AG89" s="2"/>
      <c r="AH89" s="2"/>
      <c r="AI89" s="2"/>
      <c r="AJ89" s="21"/>
      <c r="AK89" s="2"/>
      <c r="AL89" s="2"/>
      <c r="AM89" s="51"/>
      <c r="AN89" s="70"/>
      <c r="AO89" s="70"/>
    </row>
    <row r="90" spans="1:45" ht="19.899999999999999" customHeight="1" outlineLevel="1" x14ac:dyDescent="0.55000000000000004">
      <c r="B90" s="173" t="s">
        <v>68</v>
      </c>
      <c r="C90" s="173"/>
      <c r="D90" s="173"/>
      <c r="E90" s="2"/>
      <c r="F90" s="174" t="s">
        <v>129</v>
      </c>
      <c r="G90" s="174"/>
      <c r="H90" s="174"/>
      <c r="I90" s="2"/>
      <c r="J90" s="174" t="s">
        <v>70</v>
      </c>
      <c r="K90" s="174"/>
      <c r="L90" s="174"/>
      <c r="M90" s="174"/>
      <c r="N90" s="2"/>
      <c r="O90" s="174" t="s">
        <v>39</v>
      </c>
      <c r="P90" s="174"/>
      <c r="Q90" s="174"/>
      <c r="R90" s="174"/>
      <c r="S90" s="2"/>
      <c r="T90" s="170" t="s">
        <v>474</v>
      </c>
      <c r="U90" s="170"/>
      <c r="W90" s="172" t="s">
        <v>32</v>
      </c>
      <c r="X90" s="172"/>
      <c r="Y90" s="172"/>
      <c r="Z90" s="172"/>
      <c r="AA90" s="172"/>
      <c r="AB90" s="172"/>
      <c r="AC90" s="2"/>
      <c r="AD90" s="171" t="s">
        <v>33</v>
      </c>
      <c r="AE90" s="171"/>
      <c r="AF90" s="171"/>
      <c r="AG90" s="171"/>
      <c r="AH90" s="171"/>
      <c r="AI90" s="171"/>
      <c r="AJ90" s="21"/>
      <c r="AK90" s="171" t="s">
        <v>154</v>
      </c>
      <c r="AL90" s="171"/>
      <c r="AM90" s="51"/>
      <c r="AN90" s="172" t="s">
        <v>340</v>
      </c>
      <c r="AO90" s="172"/>
      <c r="AQ90" s="173" t="s">
        <v>147</v>
      </c>
      <c r="AR90" s="173"/>
      <c r="AS90" s="173"/>
    </row>
    <row r="91" spans="1:45" ht="30.6" customHeight="1" outlineLevel="1" x14ac:dyDescent="0.55000000000000004">
      <c r="B91" s="146" t="s">
        <v>149</v>
      </c>
      <c r="C91" s="146" t="s">
        <v>10</v>
      </c>
      <c r="D91" s="78" t="s">
        <v>126</v>
      </c>
      <c r="E91" s="13"/>
      <c r="F91" s="82" t="s">
        <v>129</v>
      </c>
      <c r="G91" s="82" t="s">
        <v>158</v>
      </c>
      <c r="H91" s="134" t="s">
        <v>2</v>
      </c>
      <c r="I91" s="2"/>
      <c r="J91" s="88" t="s">
        <v>127</v>
      </c>
      <c r="K91" s="88" t="s">
        <v>37</v>
      </c>
      <c r="L91" s="48" t="s">
        <v>131</v>
      </c>
      <c r="M91" s="134" t="s">
        <v>2</v>
      </c>
      <c r="N91" s="13"/>
      <c r="O91" s="91" t="s">
        <v>128</v>
      </c>
      <c r="P91" s="91" t="s">
        <v>37</v>
      </c>
      <c r="Q91" s="92" t="s">
        <v>132</v>
      </c>
      <c r="R91" s="134" t="s">
        <v>2</v>
      </c>
      <c r="S91" s="55"/>
      <c r="T91" s="91" t="s">
        <v>159</v>
      </c>
      <c r="U91" s="91" t="s">
        <v>37</v>
      </c>
      <c r="W91" s="53" t="s">
        <v>12</v>
      </c>
      <c r="X91" s="53" t="s">
        <v>35</v>
      </c>
      <c r="Y91" s="53" t="s">
        <v>36</v>
      </c>
      <c r="Z91" s="53" t="s">
        <v>42</v>
      </c>
      <c r="AA91" s="56" t="s">
        <v>121</v>
      </c>
      <c r="AB91" s="53" t="s">
        <v>1</v>
      </c>
      <c r="AC91" s="55"/>
      <c r="AD91" s="53" t="s">
        <v>12</v>
      </c>
      <c r="AE91" s="53" t="s">
        <v>35</v>
      </c>
      <c r="AF91" s="53" t="s">
        <v>36</v>
      </c>
      <c r="AG91" s="56" t="s">
        <v>42</v>
      </c>
      <c r="AH91" s="56" t="s">
        <v>121</v>
      </c>
      <c r="AI91" s="53" t="s">
        <v>1</v>
      </c>
      <c r="AJ91" s="57"/>
      <c r="AK91" s="58" t="s">
        <v>3</v>
      </c>
      <c r="AL91" s="58" t="s">
        <v>0</v>
      </c>
      <c r="AM91" s="51"/>
      <c r="AN91" s="76" t="s">
        <v>46</v>
      </c>
      <c r="AO91" s="76" t="s">
        <v>150</v>
      </c>
      <c r="AQ91" s="58" t="s">
        <v>3</v>
      </c>
      <c r="AR91" s="58" t="s">
        <v>0</v>
      </c>
      <c r="AS91" s="58" t="s">
        <v>12</v>
      </c>
    </row>
    <row r="92" spans="1:45" s="19" customFormat="1" outlineLevel="1" x14ac:dyDescent="0.55000000000000004">
      <c r="B92" s="15" t="s">
        <v>246</v>
      </c>
      <c r="C92" s="15" t="s">
        <v>247</v>
      </c>
      <c r="D92" s="16" t="s">
        <v>248</v>
      </c>
      <c r="E92" s="20"/>
      <c r="F92" s="83" t="s">
        <v>249</v>
      </c>
      <c r="G92" s="83" t="s">
        <v>250</v>
      </c>
      <c r="H92" s="18" t="s">
        <v>251</v>
      </c>
      <c r="I92" s="23"/>
      <c r="J92" s="18" t="s">
        <v>252</v>
      </c>
      <c r="K92" s="18" t="s">
        <v>253</v>
      </c>
      <c r="L92" s="18" t="s">
        <v>254</v>
      </c>
      <c r="M92" s="17" t="s">
        <v>255</v>
      </c>
      <c r="N92" s="20"/>
      <c r="O92" s="17" t="s">
        <v>256</v>
      </c>
      <c r="P92" s="17" t="s">
        <v>257</v>
      </c>
      <c r="Q92" s="17" t="s">
        <v>258</v>
      </c>
      <c r="R92" s="143" t="s">
        <v>259</v>
      </c>
      <c r="S92" s="61"/>
      <c r="T92" s="17" t="s">
        <v>260</v>
      </c>
      <c r="U92" s="17" t="s">
        <v>261</v>
      </c>
      <c r="W92" s="60" t="s">
        <v>262</v>
      </c>
      <c r="X92" s="60" t="s">
        <v>263</v>
      </c>
      <c r="Y92" s="60" t="s">
        <v>264</v>
      </c>
      <c r="Z92" s="60" t="s">
        <v>265</v>
      </c>
      <c r="AA92" s="60" t="s">
        <v>266</v>
      </c>
      <c r="AB92" s="60" t="s">
        <v>267</v>
      </c>
      <c r="AC92" s="61"/>
      <c r="AD92" s="60" t="s">
        <v>268</v>
      </c>
      <c r="AE92" s="60" t="s">
        <v>269</v>
      </c>
      <c r="AF92" s="60" t="s">
        <v>270</v>
      </c>
      <c r="AG92" s="60" t="s">
        <v>271</v>
      </c>
      <c r="AH92" s="60" t="s">
        <v>272</v>
      </c>
      <c r="AI92" s="60" t="s">
        <v>273</v>
      </c>
      <c r="AJ92" s="62"/>
      <c r="AK92" s="60" t="s">
        <v>274</v>
      </c>
      <c r="AL92" s="60" t="s">
        <v>275</v>
      </c>
      <c r="AN92" s="60" t="s">
        <v>307</v>
      </c>
      <c r="AO92" s="60" t="s">
        <v>308</v>
      </c>
      <c r="AQ92" s="60" t="s">
        <v>309</v>
      </c>
      <c r="AR92" s="60" t="s">
        <v>310</v>
      </c>
      <c r="AS92" s="60" t="s">
        <v>311</v>
      </c>
    </row>
    <row r="93" spans="1:45" outlineLevel="1" x14ac:dyDescent="0.55000000000000004">
      <c r="B93" s="1"/>
      <c r="C93" s="3">
        <v>0</v>
      </c>
      <c r="D93" s="87">
        <v>1</v>
      </c>
      <c r="E93" s="2"/>
      <c r="F93" s="84">
        <v>1</v>
      </c>
      <c r="G93" s="84"/>
      <c r="H93" s="5"/>
      <c r="I93" s="2"/>
      <c r="J93" s="2"/>
      <c r="K93" s="2"/>
      <c r="L93" s="55"/>
      <c r="M93" s="55"/>
      <c r="N93" s="2"/>
      <c r="O93" s="10"/>
      <c r="P93" s="10"/>
      <c r="Q93" s="49"/>
      <c r="R93" s="55"/>
      <c r="S93" s="55"/>
      <c r="T93" s="2"/>
      <c r="U93" s="2"/>
      <c r="W93" s="63">
        <f t="shared" ref="W93:W109" si="81">IFERROR(IF(C93&gt;=$F$7*4,0,-IF($F$22="pattern",U94*$F$21,IF(AND($F$22="single",C93=0),$F$21,IF(AND($F$22="annual",MOD(C93,4)=0),$F$21/$F$7,IF(AND($F$22="semi-ann",MOD(C93,2)=0),$F$21/(2*$F$7),IF($F$22="quarterly",$F$21/(4*$F$7),0)))))*F93),0)</f>
        <v>-1825458.6239573236</v>
      </c>
      <c r="X93" s="63"/>
      <c r="Y93" s="63"/>
      <c r="Z93" s="63">
        <f>-$F$13*$F$21</f>
        <v>-900000</v>
      </c>
      <c r="AA93" s="63"/>
      <c r="AB93" s="64">
        <f>SUM(W93:AA93)</f>
        <v>-2725458.6239573238</v>
      </c>
      <c r="AC93" s="55"/>
      <c r="AD93" s="64">
        <f t="shared" ref="AD93:AD109" si="82">W93*$D93</f>
        <v>-1825458.6239573236</v>
      </c>
      <c r="AE93" s="64"/>
      <c r="AF93" s="64"/>
      <c r="AG93" s="64">
        <f t="shared" ref="AG93:AG109" si="83">Z93*$D93</f>
        <v>-900000</v>
      </c>
      <c r="AH93" s="64"/>
      <c r="AI93" s="64">
        <f>SUM(AD93:AH93)</f>
        <v>-2725458.6239573238</v>
      </c>
      <c r="AJ93" s="57"/>
      <c r="AK93" s="51">
        <f ca="1">SUM(AD93:AD$109,AG93:AG$109)/D93+SUM(AE94:AF$110,AH94:AH$109)/D93</f>
        <v>-4320559.915714738</v>
      </c>
      <c r="AL93" s="51">
        <f>SUM(AE94:$AF$110)*$G$14/D93</f>
        <v>135297.57574688178</v>
      </c>
      <c r="AM93" s="51"/>
      <c r="AN93" s="51">
        <f ca="1">-SUM(AD93:$AD$110,AH93:$AH$110)/D93</f>
        <v>7930479.1072774651</v>
      </c>
      <c r="AO93" s="51">
        <f ca="1">-SUM(W93:$W$110,AA93:$AA$110)</f>
        <v>8014750.776667404</v>
      </c>
      <c r="AQ93" s="9">
        <f t="shared" ref="AQ93:AQ101" ca="1" si="84">AK93-AK66</f>
        <v>29456.631267036311</v>
      </c>
      <c r="AR93" s="9">
        <f t="shared" ref="AR93:AR101" si="85">AL93-AL66</f>
        <v>941.91488533120719</v>
      </c>
      <c r="AS93" s="9">
        <f t="shared" ref="AS93:AS109" ca="1" si="86">IF($F$27="yes",AN93-AN66,AO93-AO66)</f>
        <v>0</v>
      </c>
    </row>
    <row r="94" spans="1:45" outlineLevel="1" x14ac:dyDescent="0.55000000000000004">
      <c r="A94" s="9"/>
      <c r="B94" s="1" t="s">
        <v>6</v>
      </c>
      <c r="C94" s="3">
        <v>1</v>
      </c>
      <c r="D94" s="87">
        <f>D93/(1+IF(C94&lt;$F$8,$F$17,$G$17))^(1/4)</f>
        <v>0.99506157747984325</v>
      </c>
      <c r="E94" s="4"/>
      <c r="F94" s="112">
        <f t="shared" ref="F94:F101" si="87">(1-IF(C94&lt;$F$8,$F$19,$G$19))^(C94/4)</f>
        <v>0.94574160900317583</v>
      </c>
      <c r="G94" s="84">
        <f>AVERAGE(F93:F94)</f>
        <v>0.97287080450158792</v>
      </c>
      <c r="H94" s="154">
        <f>F94*D94</f>
        <v>0.94107113734302528</v>
      </c>
      <c r="I94" s="4"/>
      <c r="J94" s="116">
        <f t="shared" ref="J94:J109" si="88">J67</f>
        <v>1</v>
      </c>
      <c r="K94" s="156">
        <f>J94/$J$85</f>
        <v>6.25E-2</v>
      </c>
      <c r="L94" s="155">
        <f>J94*G94</f>
        <v>0.97287080450158792</v>
      </c>
      <c r="M94" s="155">
        <f>L94*D94</f>
        <v>0.96806635741143421</v>
      </c>
      <c r="N94" s="4"/>
      <c r="O94" s="116">
        <f t="shared" ref="O94:O109" si="89">O67</f>
        <v>1</v>
      </c>
      <c r="P94" s="94">
        <f>O94/$O$85</f>
        <v>6.25E-2</v>
      </c>
      <c r="Q94" s="155">
        <f>O94*G94</f>
        <v>0.97287080450158792</v>
      </c>
      <c r="R94" s="155">
        <f>Q94*D94</f>
        <v>0.96806635741143421</v>
      </c>
      <c r="S94" s="51"/>
      <c r="T94" s="139">
        <f t="shared" ref="T94:T109" si="90">T67</f>
        <v>0.20282873599525819</v>
      </c>
      <c r="U94" s="136">
        <f>T94/$T$112</f>
        <v>0.20282873599525819</v>
      </c>
      <c r="W94" s="63">
        <f t="shared" si="81"/>
        <v>-1516687.3113547864</v>
      </c>
      <c r="X94" s="63">
        <f>$F$21*IF(C94&lt;$F$8,$F$11,$G$11)*P94*((1+$F$18)^(MIN($F$8-1,C94)/4))*((1+$G$18)^(MAX(0,C94-$F$8+1)/4))*F94</f>
        <v>319982.78747207677</v>
      </c>
      <c r="Y94" s="63">
        <f>$F$21*IF(C94&lt;$F$8,$F$12,$G$12)*IF($F$28="risk",P94*F94,IF($F$28="policies IF",F94/($F$7*4),1/($F$7*4)))</f>
        <v>79796.948259642959</v>
      </c>
      <c r="Z94" s="63">
        <v>0</v>
      </c>
      <c r="AA94" s="63">
        <f t="shared" ref="AA94:AA109" ca="1" si="91">IF($F$25="no",0,1)*(F94-F93)*OFFSET(W94,-IF($F$22="single",C94,IF($F$22="annual",MOD(C94,4),IF($F$22="semi-ann",MOD(C94,2),0))),0)*IF($F$22="single",($F$7*4-C94)/($F$7*4),IF(AND($F$22="annual",MOD(C94,4)&lt;&gt;0),(4-MOD(C94,4))/4,IF(AND($F$22="semi-ann",MOD(C94,2)&lt;&gt;0),0.5,0)))</f>
        <v>0</v>
      </c>
      <c r="AB94" s="64">
        <f t="shared" ref="AB94:AB101" ca="1" si="92">SUM(W94:AA94)</f>
        <v>-1116907.5756230666</v>
      </c>
      <c r="AC94" s="51"/>
      <c r="AD94" s="51">
        <f t="shared" si="82"/>
        <v>-1509197.2685803559</v>
      </c>
      <c r="AE94" s="64">
        <f t="shared" ref="AE94:AE109" si="93">X94*$D94</f>
        <v>318402.57726836216</v>
      </c>
      <c r="AF94" s="64">
        <f t="shared" ref="AF94:AF109" si="94">Y94*$D94</f>
        <v>79402.877213317755</v>
      </c>
      <c r="AG94" s="51">
        <f t="shared" si="83"/>
        <v>0</v>
      </c>
      <c r="AH94" s="64">
        <f t="shared" ref="AH94:AH109" ca="1" si="95">AA94*$D94</f>
        <v>0</v>
      </c>
      <c r="AI94" s="64">
        <f t="shared" ref="AI94:AI109" ca="1" si="96">SUM(AD94:AH94)</f>
        <v>-1111391.814098676</v>
      </c>
      <c r="AJ94" s="57"/>
      <c r="AK94" s="51">
        <f ca="1">SUM(AD94:AD$109,AG94:AG$109)/D94+SUM(AE95:AF$110,AH95:AH$109)/D94</f>
        <v>-2002797.4060524553</v>
      </c>
      <c r="AL94" s="51">
        <f>SUM(AE95:$AF$110)*$G$14/D94</f>
        <v>123975.65628538236</v>
      </c>
      <c r="AM94" s="51"/>
      <c r="AN94" s="51">
        <f ca="1">-SUM(AD94:$AD$110,AH94:$AH$110)/D94</f>
        <v>6135319.2822318673</v>
      </c>
      <c r="AO94" s="51">
        <f ca="1">-SUM(W94:$W$110,AA94:$AA$110)</f>
        <v>6189292.1527100792</v>
      </c>
      <c r="AQ94" s="9">
        <f t="shared" ca="1" si="84"/>
        <v>29602.822512390092</v>
      </c>
      <c r="AR94" s="9">
        <f t="shared" si="85"/>
        <v>946.58954445492418</v>
      </c>
      <c r="AS94" s="9">
        <f t="shared" ca="1" si="86"/>
        <v>0</v>
      </c>
    </row>
    <row r="95" spans="1:45" outlineLevel="1" x14ac:dyDescent="0.55000000000000004">
      <c r="A95" s="9"/>
      <c r="B95" s="1" t="s">
        <v>7</v>
      </c>
      <c r="C95" s="3">
        <v>2</v>
      </c>
      <c r="D95" s="87">
        <f t="shared" ref="D95:D109" si="97">D94/(1+IF(C95&lt;$F$8,$F$17,$G$17))^(1/4)</f>
        <v>0.99014754297667418</v>
      </c>
      <c r="E95" s="4"/>
      <c r="F95" s="112">
        <f t="shared" si="87"/>
        <v>0.89442719099991586</v>
      </c>
      <c r="G95" s="84">
        <f t="shared" ref="G95:G101" si="98">AVERAGE(F94:F95)</f>
        <v>0.92008440000154579</v>
      </c>
      <c r="H95" s="154">
        <f t="shared" ref="H95:H101" si="99">F95*D95</f>
        <v>0.88561488554009515</v>
      </c>
      <c r="I95" s="4"/>
      <c r="J95" s="116">
        <f t="shared" si="88"/>
        <v>1</v>
      </c>
      <c r="K95" s="156">
        <f t="shared" ref="K95:K101" si="100">J95/$J$85</f>
        <v>6.25E-2</v>
      </c>
      <c r="L95" s="155">
        <f t="shared" ref="L95:L101" si="101">J95*G95</f>
        <v>0.92008440000154579</v>
      </c>
      <c r="M95" s="155">
        <f t="shared" ref="M95:M101" si="102">L95*D95</f>
        <v>0.91101930799269804</v>
      </c>
      <c r="N95" s="4"/>
      <c r="O95" s="116">
        <f t="shared" si="89"/>
        <v>1</v>
      </c>
      <c r="P95" s="94">
        <f t="shared" ref="P95:P101" si="103">O95/$O$85</f>
        <v>6.25E-2</v>
      </c>
      <c r="Q95" s="155">
        <f t="shared" ref="Q95:Q101" si="104">O95*G95</f>
        <v>0.92008440000154579</v>
      </c>
      <c r="R95" s="155">
        <f t="shared" ref="R95:R101" si="105">Q95*D95</f>
        <v>0.91101930799269804</v>
      </c>
      <c r="S95" s="51"/>
      <c r="T95" s="139">
        <f t="shared" si="90"/>
        <v>0.17818906429460918</v>
      </c>
      <c r="U95" s="136">
        <f t="shared" ref="U95:U109" si="106">T95/$T$112</f>
        <v>0.17818906429460918</v>
      </c>
      <c r="W95" s="63">
        <f t="shared" si="81"/>
        <v>-1625588.2491037957</v>
      </c>
      <c r="X95" s="63">
        <f t="shared" ref="X95:X109" si="107">$F$21*IF(C95&lt;$F$8,$F$11,$G$11)*P95*((1+$F$18)^(MIN($F$8-1,C95)/4))*((1+$G$18)^(MAX(0,C95-$F$8+1)/4))*F95</f>
        <v>303374.76823229709</v>
      </c>
      <c r="Y95" s="63">
        <f t="shared" ref="Y95:Y109" si="108">$F$21*IF(C95&lt;$F$8,$F$12,$G$12)*IF($F$28="risk",P95*F95,IF($F$28="policies IF",F95/($F$7*4),1/($F$7*4)))</f>
        <v>75467.294240617906</v>
      </c>
      <c r="Z95" s="63">
        <v>0</v>
      </c>
      <c r="AA95" s="63">
        <f t="shared" ca="1" si="91"/>
        <v>0</v>
      </c>
      <c r="AB95" s="64">
        <f t="shared" ca="1" si="92"/>
        <v>-1246746.1866308807</v>
      </c>
      <c r="AC95" s="51"/>
      <c r="AD95" s="51">
        <f t="shared" si="82"/>
        <v>-1609572.2107418771</v>
      </c>
      <c r="AE95" s="64">
        <f t="shared" si="93"/>
        <v>300385.78136632696</v>
      </c>
      <c r="AF95" s="64">
        <f t="shared" si="94"/>
        <v>74723.755967445541</v>
      </c>
      <c r="AG95" s="51">
        <f t="shared" si="83"/>
        <v>0</v>
      </c>
      <c r="AH95" s="64">
        <f t="shared" ca="1" si="95"/>
        <v>0</v>
      </c>
      <c r="AI95" s="64">
        <f t="shared" ca="1" si="96"/>
        <v>-1234462.6734081048</v>
      </c>
      <c r="AJ95" s="57"/>
      <c r="AK95" s="51">
        <f ca="1">SUM(AD95:AD$109,AG95:AG$109)/D95+SUM(AE96:AF$110,AH96:AH$109)/D95</f>
        <v>-867364.68830761174</v>
      </c>
      <c r="AL95" s="51">
        <f>SUM(AE96:$AF$110)*$G$14/D95</f>
        <v>113225.6771100823</v>
      </c>
      <c r="AM95" s="51"/>
      <c r="AN95" s="51">
        <f ca="1">-SUM(AD95:$AD$110,AH95:$AH$110)/D95</f>
        <v>4641553.9253103547</v>
      </c>
      <c r="AO95" s="51">
        <f ca="1">-SUM(W95:$W$110,AA95:$AA$110)</f>
        <v>4672604.841355294</v>
      </c>
      <c r="AQ95" s="9">
        <f t="shared" ca="1" si="84"/>
        <v>29749.739294892177</v>
      </c>
      <c r="AR95" s="9">
        <f t="shared" si="85"/>
        <v>951.28740359195217</v>
      </c>
      <c r="AS95" s="9">
        <f t="shared" ca="1" si="86"/>
        <v>0</v>
      </c>
    </row>
    <row r="96" spans="1:45" outlineLevel="1" x14ac:dyDescent="0.55000000000000004">
      <c r="A96" s="9"/>
      <c r="B96" s="1" t="s">
        <v>8</v>
      </c>
      <c r="C96" s="3">
        <v>3</v>
      </c>
      <c r="D96" s="87">
        <f t="shared" si="97"/>
        <v>0.98525777605216036</v>
      </c>
      <c r="E96" s="4"/>
      <c r="F96" s="112">
        <f t="shared" si="87"/>
        <v>0.84589701075245127</v>
      </c>
      <c r="G96" s="84">
        <f t="shared" si="98"/>
        <v>0.87016210087618351</v>
      </c>
      <c r="H96" s="154">
        <f t="shared" si="99"/>
        <v>0.83342660758313047</v>
      </c>
      <c r="I96" s="4"/>
      <c r="J96" s="116">
        <f t="shared" si="88"/>
        <v>1</v>
      </c>
      <c r="K96" s="156">
        <f t="shared" si="100"/>
        <v>6.25E-2</v>
      </c>
      <c r="L96" s="155">
        <f t="shared" si="101"/>
        <v>0.87016210087618351</v>
      </c>
      <c r="M96" s="155">
        <f t="shared" si="102"/>
        <v>0.85733397631414421</v>
      </c>
      <c r="N96" s="4"/>
      <c r="O96" s="116">
        <f t="shared" si="89"/>
        <v>1</v>
      </c>
      <c r="P96" s="94">
        <f t="shared" si="103"/>
        <v>6.25E-2</v>
      </c>
      <c r="Q96" s="155">
        <f t="shared" si="104"/>
        <v>0.87016210087618351</v>
      </c>
      <c r="R96" s="155">
        <f t="shared" si="105"/>
        <v>0.85733397631414421</v>
      </c>
      <c r="S96" s="51"/>
      <c r="T96" s="139">
        <f t="shared" si="90"/>
        <v>0.20194032380116383</v>
      </c>
      <c r="U96" s="136">
        <f t="shared" si="106"/>
        <v>0.20194032380116383</v>
      </c>
      <c r="W96" s="63">
        <f t="shared" si="81"/>
        <v>-1576640.0392691609</v>
      </c>
      <c r="X96" s="63">
        <f t="shared" si="107"/>
        <v>287628.75255604647</v>
      </c>
      <c r="Y96" s="63">
        <f t="shared" si="108"/>
        <v>71372.560282238075</v>
      </c>
      <c r="Z96" s="63">
        <v>0</v>
      </c>
      <c r="AA96" s="63">
        <f t="shared" ca="1" si="91"/>
        <v>0</v>
      </c>
      <c r="AB96" s="64">
        <f t="shared" ca="1" si="92"/>
        <v>-1217638.7264308764</v>
      </c>
      <c r="AC96" s="51"/>
      <c r="AD96" s="51">
        <f t="shared" si="82"/>
        <v>-1553396.8587251243</v>
      </c>
      <c r="AE96" s="64">
        <f t="shared" si="93"/>
        <v>283388.46507202747</v>
      </c>
      <c r="AF96" s="64">
        <f t="shared" si="94"/>
        <v>70320.370014826636</v>
      </c>
      <c r="AG96" s="51">
        <f t="shared" si="83"/>
        <v>0</v>
      </c>
      <c r="AH96" s="64">
        <f t="shared" ca="1" si="95"/>
        <v>0</v>
      </c>
      <c r="AI96" s="64">
        <f t="shared" ca="1" si="96"/>
        <v>-1199688.0236382703</v>
      </c>
      <c r="AJ96" s="57"/>
      <c r="AK96" s="51">
        <f ca="1">SUM(AD96:AD$109,AG96:AG$109)/D96+SUM(AE97:AF$110,AH97:AH$109)/D96</f>
        <v>402985.25960732112</v>
      </c>
      <c r="AL96" s="51">
        <f>SUM(AE97:$AF$110)*$G$14/D96</f>
        <v>103017.56901276072</v>
      </c>
      <c r="AM96" s="51"/>
      <c r="AN96" s="51">
        <f ca="1">-SUM(AD96:$AD$110,AH96:$AH$110)/D96</f>
        <v>3030933.707484703</v>
      </c>
      <c r="AO96" s="51">
        <f ca="1">-SUM(W96:$W$110,AA96:$AA$110)</f>
        <v>3047016.5922514987</v>
      </c>
      <c r="AQ96" s="9">
        <f t="shared" ca="1" si="84"/>
        <v>29897.3852153318</v>
      </c>
      <c r="AR96" s="9">
        <f t="shared" si="85"/>
        <v>956.00857788239955</v>
      </c>
      <c r="AS96" s="9">
        <f t="shared" ca="1" si="86"/>
        <v>0</v>
      </c>
    </row>
    <row r="97" spans="1:45" outlineLevel="1" x14ac:dyDescent="0.55000000000000004">
      <c r="A97" s="9"/>
      <c r="B97" s="1" t="s">
        <v>9</v>
      </c>
      <c r="C97" s="3">
        <v>4</v>
      </c>
      <c r="D97" s="87">
        <f t="shared" si="97"/>
        <v>0.98039215686274483</v>
      </c>
      <c r="E97" s="4"/>
      <c r="F97" s="112">
        <f t="shared" si="87"/>
        <v>0.8</v>
      </c>
      <c r="G97" s="84">
        <f t="shared" si="98"/>
        <v>0.82294850537622566</v>
      </c>
      <c r="H97" s="154">
        <f t="shared" si="99"/>
        <v>0.78431372549019596</v>
      </c>
      <c r="I97" s="4"/>
      <c r="J97" s="116">
        <f t="shared" si="88"/>
        <v>1</v>
      </c>
      <c r="K97" s="156">
        <f t="shared" si="100"/>
        <v>6.25E-2</v>
      </c>
      <c r="L97" s="155">
        <f t="shared" si="101"/>
        <v>0.82294850537622566</v>
      </c>
      <c r="M97" s="155">
        <f t="shared" si="102"/>
        <v>0.80681226017277008</v>
      </c>
      <c r="N97" s="4"/>
      <c r="O97" s="116">
        <f t="shared" si="89"/>
        <v>1</v>
      </c>
      <c r="P97" s="94">
        <f t="shared" si="103"/>
        <v>6.25E-2</v>
      </c>
      <c r="Q97" s="155">
        <f t="shared" si="104"/>
        <v>0.82294850537622566</v>
      </c>
      <c r="R97" s="155">
        <f t="shared" si="105"/>
        <v>0.80681226017277008</v>
      </c>
      <c r="S97" s="51"/>
      <c r="T97" s="139">
        <f t="shared" si="90"/>
        <v>0.20709640104961757</v>
      </c>
      <c r="U97" s="136">
        <f t="shared" si="106"/>
        <v>0.20709640104961757</v>
      </c>
      <c r="W97" s="63">
        <f t="shared" si="81"/>
        <v>-598862.14189269196</v>
      </c>
      <c r="X97" s="63">
        <f t="shared" si="107"/>
        <v>272700</v>
      </c>
      <c r="Y97" s="63">
        <f t="shared" si="108"/>
        <v>67500</v>
      </c>
      <c r="Z97" s="63">
        <v>0</v>
      </c>
      <c r="AA97" s="63">
        <f t="shared" ca="1" si="91"/>
        <v>0</v>
      </c>
      <c r="AB97" s="64">
        <f t="shared" ca="1" si="92"/>
        <v>-258662.14189269196</v>
      </c>
      <c r="AC97" s="51"/>
      <c r="AD97" s="51">
        <f t="shared" si="82"/>
        <v>-587119.74695361941</v>
      </c>
      <c r="AE97" s="64">
        <f t="shared" si="93"/>
        <v>267352.94117647054</v>
      </c>
      <c r="AF97" s="64">
        <f t="shared" si="94"/>
        <v>66176.470588235272</v>
      </c>
      <c r="AG97" s="51">
        <f t="shared" si="83"/>
        <v>0</v>
      </c>
      <c r="AH97" s="64">
        <f t="shared" ca="1" si="95"/>
        <v>0</v>
      </c>
      <c r="AI97" s="64">
        <f t="shared" ca="1" si="96"/>
        <v>-253590.3351889136</v>
      </c>
      <c r="AJ97" s="57"/>
      <c r="AK97" s="51">
        <f ca="1">SUM(AD97:AD$109,AG97:AG$109)/D97+SUM(AE98:AF$110,AH98:AH$109)/D97</f>
        <v>1649250.0437753897</v>
      </c>
      <c r="AL97" s="51">
        <f>SUM(AE98:$AF$110)*$G$14/D97</f>
        <v>93322.838158608865</v>
      </c>
      <c r="AM97" s="51"/>
      <c r="AN97" s="51">
        <f ca="1">-SUM(AD97:$AD$110,AH97:$AH$110)/D97</f>
        <v>1461511.2281782392</v>
      </c>
      <c r="AO97" s="51">
        <f ca="1">-SUM(W97:$W$110,AA97:$AA$110)</f>
        <v>1470376.5529823373</v>
      </c>
      <c r="AQ97" s="9">
        <f t="shared" ca="1" si="84"/>
        <v>30045.763892373303</v>
      </c>
      <c r="AR97" s="9">
        <f t="shared" si="85"/>
        <v>960.75318303779932</v>
      </c>
      <c r="AS97" s="9">
        <f t="shared" ca="1" si="86"/>
        <v>0</v>
      </c>
    </row>
    <row r="98" spans="1:45" outlineLevel="1" x14ac:dyDescent="0.55000000000000004">
      <c r="A98" s="9"/>
      <c r="B98" s="1" t="s">
        <v>16</v>
      </c>
      <c r="C98" s="3">
        <v>5</v>
      </c>
      <c r="D98" s="87">
        <f t="shared" si="97"/>
        <v>0.97555056615670888</v>
      </c>
      <c r="E98" s="4"/>
      <c r="F98" s="112">
        <f t="shared" si="87"/>
        <v>0.75659328720254071</v>
      </c>
      <c r="G98" s="84">
        <f t="shared" si="98"/>
        <v>0.77829664360127038</v>
      </c>
      <c r="H98" s="154">
        <f t="shared" si="99"/>
        <v>0.73809500968080399</v>
      </c>
      <c r="I98" s="4"/>
      <c r="J98" s="116">
        <f t="shared" si="88"/>
        <v>1</v>
      </c>
      <c r="K98" s="156">
        <f t="shared" si="100"/>
        <v>6.25E-2</v>
      </c>
      <c r="L98" s="155">
        <f t="shared" si="101"/>
        <v>0.77829664360127038</v>
      </c>
      <c r="M98" s="155">
        <f t="shared" si="102"/>
        <v>0.75926773130308556</v>
      </c>
      <c r="N98" s="4"/>
      <c r="O98" s="116">
        <f t="shared" si="89"/>
        <v>1</v>
      </c>
      <c r="P98" s="94">
        <f t="shared" si="103"/>
        <v>6.25E-2</v>
      </c>
      <c r="Q98" s="155">
        <f t="shared" si="104"/>
        <v>0.77829664360127038</v>
      </c>
      <c r="R98" s="155">
        <f t="shared" si="105"/>
        <v>0.75926773130308556</v>
      </c>
      <c r="S98" s="51"/>
      <c r="T98" s="139">
        <f t="shared" si="90"/>
        <v>8.3175297485096111E-2</v>
      </c>
      <c r="U98" s="136">
        <f t="shared" si="106"/>
        <v>8.3175297485096111E-2</v>
      </c>
      <c r="W98" s="63">
        <f t="shared" si="81"/>
        <v>-353341.95904584404</v>
      </c>
      <c r="X98" s="63">
        <f t="shared" si="107"/>
        <v>258546.09227743812</v>
      </c>
      <c r="Y98" s="63">
        <f t="shared" si="108"/>
        <v>63837.558607714374</v>
      </c>
      <c r="Z98" s="63">
        <v>0</v>
      </c>
      <c r="AA98" s="63">
        <f t="shared" ca="1" si="91"/>
        <v>0</v>
      </c>
      <c r="AB98" s="64">
        <f t="shared" ca="1" si="92"/>
        <v>-30958.308160691544</v>
      </c>
      <c r="AC98" s="51"/>
      <c r="AD98" s="51">
        <f t="shared" si="82"/>
        <v>-344702.94819409377</v>
      </c>
      <c r="AE98" s="64">
        <f t="shared" si="93"/>
        <v>252224.78669885945</v>
      </c>
      <c r="AF98" s="64">
        <f t="shared" si="94"/>
        <v>62276.766441817839</v>
      </c>
      <c r="AG98" s="51">
        <f t="shared" si="83"/>
        <v>0</v>
      </c>
      <c r="AH98" s="64">
        <f t="shared" ca="1" si="95"/>
        <v>0</v>
      </c>
      <c r="AI98" s="64">
        <f t="shared" ca="1" si="96"/>
        <v>-30201.395053416483</v>
      </c>
      <c r="AJ98" s="57"/>
      <c r="AK98" s="51">
        <f ca="1">SUM(AD98:AD$109,AG98:AG$109)/D98+SUM(AE99:AF$110,AH99:AH$109)/D98</f>
        <v>1936885.7617292851</v>
      </c>
      <c r="AL98" s="51">
        <f>SUM(AE99:$AF$110)*$G$14/D98</f>
        <v>84114.483492052634</v>
      </c>
      <c r="AM98" s="51"/>
      <c r="AN98" s="51">
        <f ca="1">-SUM(AD98:$AD$110,AH98:$AH$110)/D98</f>
        <v>866930.35467246966</v>
      </c>
      <c r="AO98" s="51">
        <f ca="1">-SUM(W98:$W$110,AA98:$AA$110)</f>
        <v>871514.41108964535</v>
      </c>
      <c r="AQ98" s="9">
        <f t="shared" ca="1" si="84"/>
        <v>30194.878962635994</v>
      </c>
      <c r="AR98" s="9">
        <f t="shared" si="85"/>
        <v>965.52133534396125</v>
      </c>
      <c r="AS98" s="9">
        <f t="shared" ca="1" si="86"/>
        <v>0</v>
      </c>
    </row>
    <row r="99" spans="1:45" outlineLevel="1" x14ac:dyDescent="0.55000000000000004">
      <c r="A99" s="9"/>
      <c r="B99" s="1" t="s">
        <v>17</v>
      </c>
      <c r="C99" s="3">
        <v>6</v>
      </c>
      <c r="D99" s="87">
        <f t="shared" si="97"/>
        <v>0.9707328852712489</v>
      </c>
      <c r="E99" s="4"/>
      <c r="F99" s="112">
        <f t="shared" si="87"/>
        <v>0.71554175279993271</v>
      </c>
      <c r="G99" s="84">
        <f t="shared" si="98"/>
        <v>0.73606752000123676</v>
      </c>
      <c r="H99" s="154">
        <f t="shared" si="99"/>
        <v>0.69459991022752543</v>
      </c>
      <c r="I99" s="4"/>
      <c r="J99" s="116">
        <f t="shared" si="88"/>
        <v>1</v>
      </c>
      <c r="K99" s="156">
        <f t="shared" si="100"/>
        <v>6.25E-2</v>
      </c>
      <c r="L99" s="155">
        <f t="shared" si="101"/>
        <v>0.73606752000123676</v>
      </c>
      <c r="M99" s="155">
        <f t="shared" si="102"/>
        <v>0.7145249474452533</v>
      </c>
      <c r="N99" s="4"/>
      <c r="O99" s="116">
        <f t="shared" si="89"/>
        <v>1</v>
      </c>
      <c r="P99" s="94">
        <f t="shared" si="103"/>
        <v>6.25E-2</v>
      </c>
      <c r="Q99" s="155">
        <f t="shared" si="104"/>
        <v>0.73606752000123676</v>
      </c>
      <c r="R99" s="155">
        <f t="shared" si="105"/>
        <v>0.7145249474452533</v>
      </c>
      <c r="S99" s="51"/>
      <c r="T99" s="139">
        <f t="shared" si="90"/>
        <v>5.1890782453176132E-2</v>
      </c>
      <c r="U99" s="136">
        <f t="shared" si="106"/>
        <v>5.1890782453176132E-2</v>
      </c>
      <c r="W99" s="63">
        <f t="shared" si="81"/>
        <v>-179227.48960220299</v>
      </c>
      <c r="X99" s="63">
        <f t="shared" si="107"/>
        <v>245126.81273169606</v>
      </c>
      <c r="Y99" s="63">
        <f t="shared" si="108"/>
        <v>60373.835392494322</v>
      </c>
      <c r="Z99" s="63">
        <v>0</v>
      </c>
      <c r="AA99" s="63">
        <f t="shared" ca="1" si="91"/>
        <v>0</v>
      </c>
      <c r="AB99" s="64">
        <f t="shared" ca="1" si="92"/>
        <v>126273.1585219874</v>
      </c>
      <c r="AC99" s="51"/>
      <c r="AD99" s="51">
        <f t="shared" si="82"/>
        <v>-173982.01810146926</v>
      </c>
      <c r="AE99" s="64">
        <f t="shared" si="93"/>
        <v>237952.65818038443</v>
      </c>
      <c r="AF99" s="64">
        <f t="shared" si="94"/>
        <v>58606.867425447461</v>
      </c>
      <c r="AG99" s="51">
        <f t="shared" si="83"/>
        <v>0</v>
      </c>
      <c r="AH99" s="64">
        <f t="shared" ca="1" si="95"/>
        <v>0</v>
      </c>
      <c r="AI99" s="64">
        <f t="shared" ca="1" si="96"/>
        <v>122577.50750436263</v>
      </c>
      <c r="AJ99" s="57"/>
      <c r="AK99" s="51">
        <f ca="1">SUM(AD99:AD$109,AG99:AG$109)/D99+SUM(AE100:AF$110,AH100:AH$109)/D99</f>
        <v>1996093.3161161998</v>
      </c>
      <c r="AL99" s="51">
        <f>SUM(AE100:$AF$110)*$G$14/D99</f>
        <v>75366.918474213351</v>
      </c>
      <c r="AM99" s="51"/>
      <c r="AN99" s="51">
        <f ca="1">-SUM(AD99:$AD$110,AH99:$AH$110)/D99</f>
        <v>516137.29969091201</v>
      </c>
      <c r="AO99" s="51">
        <f ca="1">-SUM(W99:$W$110,AA99:$AA$110)</f>
        <v>518172.45204380126</v>
      </c>
      <c r="AQ99" s="9">
        <f t="shared" ca="1" si="84"/>
        <v>30344.734080788214</v>
      </c>
      <c r="AR99" s="9">
        <f t="shared" si="85"/>
        <v>970.31315166373679</v>
      </c>
      <c r="AS99" s="9">
        <f t="shared" ca="1" si="86"/>
        <v>0</v>
      </c>
    </row>
    <row r="100" spans="1:45" outlineLevel="1" x14ac:dyDescent="0.55000000000000004">
      <c r="A100" s="9"/>
      <c r="B100" s="1" t="s">
        <v>18</v>
      </c>
      <c r="C100" s="3">
        <v>7</v>
      </c>
      <c r="D100" s="87">
        <f t="shared" si="97"/>
        <v>0.96832110791813664</v>
      </c>
      <c r="E100" s="4"/>
      <c r="F100" s="112">
        <f t="shared" si="87"/>
        <v>0.83161897782507621</v>
      </c>
      <c r="G100" s="84">
        <f t="shared" si="98"/>
        <v>0.7735803653125044</v>
      </c>
      <c r="H100" s="154">
        <f t="shared" si="99"/>
        <v>0.8052742099733261</v>
      </c>
      <c r="I100" s="4"/>
      <c r="J100" s="116">
        <f t="shared" si="88"/>
        <v>1</v>
      </c>
      <c r="K100" s="156">
        <f t="shared" si="100"/>
        <v>6.25E-2</v>
      </c>
      <c r="L100" s="155">
        <f t="shared" si="101"/>
        <v>0.7735803653125044</v>
      </c>
      <c r="M100" s="155">
        <f t="shared" si="102"/>
        <v>0.74907419640312112</v>
      </c>
      <c r="N100" s="4"/>
      <c r="O100" s="116">
        <f t="shared" si="89"/>
        <v>1</v>
      </c>
      <c r="P100" s="94">
        <f t="shared" si="103"/>
        <v>6.25E-2</v>
      </c>
      <c r="Q100" s="155">
        <f t="shared" si="104"/>
        <v>0.7735803653125044</v>
      </c>
      <c r="R100" s="155">
        <f t="shared" si="105"/>
        <v>0.74907419640312112</v>
      </c>
      <c r="S100" s="51"/>
      <c r="T100" s="139">
        <f t="shared" si="90"/>
        <v>2.7830892374108518E-2</v>
      </c>
      <c r="U100" s="136">
        <f t="shared" si="106"/>
        <v>2.7830892374108518E-2</v>
      </c>
      <c r="W100" s="63">
        <f t="shared" si="81"/>
        <v>-113954.73182080506</v>
      </c>
      <c r="X100" s="63">
        <f t="shared" si="107"/>
        <v>237706.1941644758</v>
      </c>
      <c r="Y100" s="63">
        <f t="shared" si="108"/>
        <v>46778.567502660539</v>
      </c>
      <c r="Z100" s="63">
        <v>0</v>
      </c>
      <c r="AA100" s="63">
        <f t="shared" ca="1" si="91"/>
        <v>0</v>
      </c>
      <c r="AB100" s="64">
        <f t="shared" ca="1" si="92"/>
        <v>170530.02984633128</v>
      </c>
      <c r="AC100" s="51"/>
      <c r="AD100" s="51">
        <f t="shared" si="82"/>
        <v>-110344.77216923609</v>
      </c>
      <c r="AE100" s="64">
        <f t="shared" si="93"/>
        <v>230175.92529234893</v>
      </c>
      <c r="AF100" s="64">
        <f t="shared" si="94"/>
        <v>45296.674310999595</v>
      </c>
      <c r="AG100" s="51">
        <f t="shared" si="83"/>
        <v>0</v>
      </c>
      <c r="AH100" s="64">
        <f t="shared" ca="1" si="95"/>
        <v>0</v>
      </c>
      <c r="AI100" s="64">
        <f t="shared" ca="1" si="96"/>
        <v>165127.82743411243</v>
      </c>
      <c r="AJ100" s="57"/>
      <c r="AK100" s="51">
        <f ca="1">SUM(AD100:AD$109,AG100:AG$109)/D100+SUM(AE101:AF$110,AH101:AH$109)/D100</f>
        <v>1896254.070584082</v>
      </c>
      <c r="AL100" s="51">
        <f>SUM(AE101:$AF$110)*$G$14/D100</f>
        <v>67020.09044902712</v>
      </c>
      <c r="AM100" s="51"/>
      <c r="AN100" s="51">
        <f ca="1">-SUM(AD100:$AD$110,AH100:$AH$110)/D100</f>
        <v>337748.94438348885</v>
      </c>
      <c r="AO100" s="51">
        <f ca="1">-SUM(W100:$W$110,AA100:$AA$110)</f>
        <v>338944.9624415983</v>
      </c>
      <c r="AQ100" s="9">
        <f t="shared" ca="1" si="84"/>
        <v>25117.391143906629</v>
      </c>
      <c r="AR100" s="9">
        <f t="shared" si="85"/>
        <v>788.80271499713126</v>
      </c>
      <c r="AS100" s="9">
        <f t="shared" ca="1" si="86"/>
        <v>0</v>
      </c>
    </row>
    <row r="101" spans="1:45" outlineLevel="1" x14ac:dyDescent="0.55000000000000004">
      <c r="A101" s="9"/>
      <c r="B101" s="1" t="s">
        <v>19</v>
      </c>
      <c r="C101" s="3">
        <v>8</v>
      </c>
      <c r="D101" s="87">
        <f t="shared" si="97"/>
        <v>0.96591532260473922</v>
      </c>
      <c r="E101" s="4"/>
      <c r="F101" s="112">
        <f t="shared" si="87"/>
        <v>0.81</v>
      </c>
      <c r="G101" s="84">
        <f t="shared" si="98"/>
        <v>0.82080948891253813</v>
      </c>
      <c r="H101" s="154">
        <f t="shared" si="99"/>
        <v>0.7823914113098388</v>
      </c>
      <c r="I101" s="4"/>
      <c r="J101" s="116">
        <f t="shared" si="88"/>
        <v>1</v>
      </c>
      <c r="K101" s="156">
        <f t="shared" si="100"/>
        <v>6.25E-2</v>
      </c>
      <c r="L101" s="155">
        <f t="shared" si="101"/>
        <v>0.82080948891253813</v>
      </c>
      <c r="M101" s="155">
        <f t="shared" si="102"/>
        <v>0.79283246227998538</v>
      </c>
      <c r="N101" s="4"/>
      <c r="O101" s="116">
        <f t="shared" si="89"/>
        <v>1</v>
      </c>
      <c r="P101" s="94">
        <f t="shared" si="103"/>
        <v>6.25E-2</v>
      </c>
      <c r="Q101" s="155">
        <f t="shared" si="104"/>
        <v>0.82080948891253813</v>
      </c>
      <c r="R101" s="155">
        <f t="shared" si="105"/>
        <v>0.79283246227998538</v>
      </c>
      <c r="S101" s="51"/>
      <c r="T101" s="139">
        <f t="shared" si="90"/>
        <v>1.5225286106495761E-2</v>
      </c>
      <c r="U101" s="136">
        <f t="shared" si="106"/>
        <v>1.5225286106495761E-2</v>
      </c>
      <c r="W101" s="63">
        <f t="shared" si="81"/>
        <v>-101100.35781684837</v>
      </c>
      <c r="X101" s="63">
        <f t="shared" si="107"/>
        <v>231815.59100580279</v>
      </c>
      <c r="Y101" s="63">
        <f t="shared" si="108"/>
        <v>45562.5</v>
      </c>
      <c r="Z101" s="63">
        <v>0</v>
      </c>
      <c r="AA101" s="63">
        <f t="shared" ca="1" si="91"/>
        <v>0</v>
      </c>
      <c r="AB101" s="64">
        <f t="shared" ca="1" si="92"/>
        <v>176277.73318895441</v>
      </c>
      <c r="AC101" s="51"/>
      <c r="AD101" s="51">
        <f t="shared" si="82"/>
        <v>-97654.384736115651</v>
      </c>
      <c r="AE101" s="64">
        <f t="shared" si="93"/>
        <v>223914.23137117829</v>
      </c>
      <c r="AF101" s="64">
        <f t="shared" si="94"/>
        <v>44009.516886178433</v>
      </c>
      <c r="AG101" s="51">
        <f t="shared" si="83"/>
        <v>0</v>
      </c>
      <c r="AH101" s="64">
        <f t="shared" ca="1" si="95"/>
        <v>0</v>
      </c>
      <c r="AI101" s="64">
        <f t="shared" ref="AI101:AI105" ca="1" si="109">SUM(AD101:AH101)</f>
        <v>170269.36352124106</v>
      </c>
      <c r="AJ101" s="57"/>
      <c r="AK101" s="51">
        <f ca="1">SUM(AD101:AD$109,AG101:AG$109)/D101+SUM(AE102:AF$110,AH102:AH$109)/D101</f>
        <v>1737837.4968807003</v>
      </c>
      <c r="AL101" s="51">
        <f>SUM(AE102:$AF$110)*$G$14/D101</f>
        <v>58865.67327177836</v>
      </c>
      <c r="AM101" s="51"/>
      <c r="AN101" s="51">
        <f ca="1">-SUM(AD101:$AD$110,AH101:$AH$110)/D101</f>
        <v>224351.61217857845</v>
      </c>
      <c r="AO101" s="51">
        <f ca="1">-SUM(W101:$W$110,AA101:$AA$110)</f>
        <v>224990.23062079324</v>
      </c>
      <c r="AQ101" s="9">
        <f t="shared" ca="1" si="84"/>
        <v>20272.303784880321</v>
      </c>
      <c r="AR101" s="9">
        <f t="shared" si="85"/>
        <v>627.02691889330163</v>
      </c>
      <c r="AS101" s="9">
        <f t="shared" ca="1" si="86"/>
        <v>0</v>
      </c>
    </row>
    <row r="102" spans="1:45" outlineLevel="1" x14ac:dyDescent="0.55000000000000004">
      <c r="A102" s="9"/>
      <c r="B102" s="1" t="s">
        <v>20</v>
      </c>
      <c r="C102" s="3">
        <v>9</v>
      </c>
      <c r="D102" s="87">
        <f t="shared" si="97"/>
        <v>0.96351551444388639</v>
      </c>
      <c r="E102" s="4"/>
      <c r="F102" s="112">
        <f t="shared" ref="F102:F109" si="110">(1-IF(C102&lt;$F$8,$F$19,$G$19))^(C102/4)</f>
        <v>0.78894303460449045</v>
      </c>
      <c r="G102" s="84">
        <f t="shared" ref="G102:G109" si="111">AVERAGE(F101:F102)</f>
        <v>0.7994715173022453</v>
      </c>
      <c r="H102" s="154">
        <f t="shared" ref="H102:H109" si="112">F102*D102</f>
        <v>0.7601588538538665</v>
      </c>
      <c r="I102" s="4"/>
      <c r="J102" s="116">
        <f t="shared" si="88"/>
        <v>1</v>
      </c>
      <c r="K102" s="156">
        <f t="shared" ref="K102:K109" si="113">J102/$J$85</f>
        <v>6.25E-2</v>
      </c>
      <c r="L102" s="155">
        <f t="shared" ref="L102:L109" si="114">J102*G102</f>
        <v>0.7994715173022453</v>
      </c>
      <c r="M102" s="155">
        <f t="shared" ref="M102:M109" si="115">L102*D102</f>
        <v>0.77030321027670734</v>
      </c>
      <c r="N102" s="4"/>
      <c r="O102" s="116">
        <f t="shared" si="89"/>
        <v>1</v>
      </c>
      <c r="P102" s="94">
        <f t="shared" ref="P102:P109" si="116">O102/$O$85</f>
        <v>6.25E-2</v>
      </c>
      <c r="Q102" s="155">
        <f t="shared" ref="Q102:Q109" si="117">O102*G102</f>
        <v>0.7994715173022453</v>
      </c>
      <c r="R102" s="155">
        <f t="shared" ref="R102:R109" si="118">Q102*D102</f>
        <v>0.77030321027670734</v>
      </c>
      <c r="S102" s="51"/>
      <c r="T102" s="139">
        <f t="shared" si="90"/>
        <v>1.3868361840445591E-2</v>
      </c>
      <c r="U102" s="136">
        <f t="shared" si="106"/>
        <v>1.3868361840445591E-2</v>
      </c>
      <c r="W102" s="63">
        <f t="shared" si="81"/>
        <v>-36077.504230091625</v>
      </c>
      <c r="X102" s="63">
        <f t="shared" si="107"/>
        <v>226070.96303172651</v>
      </c>
      <c r="Y102" s="63">
        <f t="shared" si="108"/>
        <v>44378.045696502588</v>
      </c>
      <c r="Z102" s="63">
        <v>0</v>
      </c>
      <c r="AA102" s="63">
        <f t="shared" ca="1" si="91"/>
        <v>0</v>
      </c>
      <c r="AB102" s="64">
        <f t="shared" ref="AB102:AB109" ca="1" si="119">SUM(W102:AA102)</f>
        <v>234371.50449813748</v>
      </c>
      <c r="AC102" s="51"/>
      <c r="AD102" s="51">
        <f t="shared" si="82"/>
        <v>-34761.235048108218</v>
      </c>
      <c r="AE102" s="64">
        <f t="shared" si="93"/>
        <v>217822.88024633878</v>
      </c>
      <c r="AF102" s="64">
        <f t="shared" si="94"/>
        <v>42758.935529279988</v>
      </c>
      <c r="AG102" s="51">
        <f t="shared" si="83"/>
        <v>0</v>
      </c>
      <c r="AH102" s="64">
        <f t="shared" ca="1" si="95"/>
        <v>0</v>
      </c>
      <c r="AI102" s="64">
        <f t="shared" ca="1" si="109"/>
        <v>225820.58072751056</v>
      </c>
      <c r="AJ102" s="57"/>
      <c r="AK102" s="51">
        <f ca="1">SUM(AD102:AD$109,AG102:AG$109)/D102+SUM(AE103:AF$110,AH103:AH$109)/D102</f>
        <v>1573069.0504443373</v>
      </c>
      <c r="AL102" s="51">
        <f>SUM(AE103:$AF$110)*$G$14/D102</f>
        <v>50898.818524673101</v>
      </c>
      <c r="AM102" s="51"/>
      <c r="AN102" s="51">
        <f ca="1">-SUM(AD102:$AD$110,AH102:$AH$110)/D102</f>
        <v>123558.23371143296</v>
      </c>
      <c r="AO102" s="51">
        <f ca="1">-SUM(W102:$W$110,AA102:$AA$110)</f>
        <v>123889.87280394486</v>
      </c>
      <c r="AQ102" s="9">
        <f t="shared" ref="AQ102:AR102" ca="1" si="120">AK102-AK75</f>
        <v>15826.595576175489</v>
      </c>
      <c r="AR102" s="9">
        <f t="shared" si="120"/>
        <v>484.60801686953346</v>
      </c>
      <c r="AS102" s="9">
        <f t="shared" ca="1" si="86"/>
        <v>0</v>
      </c>
    </row>
    <row r="103" spans="1:45" outlineLevel="1" x14ac:dyDescent="0.55000000000000004">
      <c r="A103" s="9"/>
      <c r="B103" s="1" t="s">
        <v>21</v>
      </c>
      <c r="C103" s="3">
        <v>10</v>
      </c>
      <c r="D103" s="87">
        <f t="shared" si="97"/>
        <v>0.96112166858539494</v>
      </c>
      <c r="E103" s="4"/>
      <c r="F103" s="112">
        <f t="shared" si="110"/>
        <v>0.76843347142091623</v>
      </c>
      <c r="G103" s="84">
        <f t="shared" si="111"/>
        <v>0.77868825301270328</v>
      </c>
      <c r="H103" s="154">
        <f t="shared" si="112"/>
        <v>0.73855806024893844</v>
      </c>
      <c r="I103" s="4"/>
      <c r="J103" s="116">
        <f t="shared" si="88"/>
        <v>1</v>
      </c>
      <c r="K103" s="156">
        <f t="shared" si="113"/>
        <v>6.25E-2</v>
      </c>
      <c r="L103" s="155">
        <f t="shared" si="114"/>
        <v>0.77868825301270328</v>
      </c>
      <c r="M103" s="155">
        <f t="shared" si="115"/>
        <v>0.74841415304341552</v>
      </c>
      <c r="N103" s="4"/>
      <c r="O103" s="116">
        <f t="shared" si="89"/>
        <v>1</v>
      </c>
      <c r="P103" s="94">
        <f t="shared" si="116"/>
        <v>6.25E-2</v>
      </c>
      <c r="Q103" s="155">
        <f t="shared" si="117"/>
        <v>0.77868825301270328</v>
      </c>
      <c r="R103" s="155">
        <f t="shared" si="118"/>
        <v>0.74841415304341552</v>
      </c>
      <c r="S103" s="51"/>
      <c r="T103" s="139">
        <f t="shared" si="90"/>
        <v>5.0809898881113407E-3</v>
      </c>
      <c r="U103" s="136">
        <f t="shared" si="106"/>
        <v>5.0809898881113407E-3</v>
      </c>
      <c r="W103" s="63">
        <f t="shared" si="81"/>
        <v>-42027.28098525347</v>
      </c>
      <c r="X103" s="63">
        <f t="shared" si="107"/>
        <v>220468.69282753687</v>
      </c>
      <c r="Y103" s="63">
        <f t="shared" si="108"/>
        <v>43224.382767426541</v>
      </c>
      <c r="Z103" s="63">
        <v>0</v>
      </c>
      <c r="AA103" s="63">
        <f t="shared" ca="1" si="91"/>
        <v>0</v>
      </c>
      <c r="AB103" s="64">
        <f t="shared" ca="1" si="119"/>
        <v>221665.79460970993</v>
      </c>
      <c r="AC103" s="51"/>
      <c r="AD103" s="51">
        <f t="shared" si="82"/>
        <v>-40393.330426654058</v>
      </c>
      <c r="AE103" s="64">
        <f t="shared" si="93"/>
        <v>211897.23792124313</v>
      </c>
      <c r="AF103" s="64">
        <f t="shared" si="94"/>
        <v>41543.890889002789</v>
      </c>
      <c r="AG103" s="51">
        <f t="shared" si="83"/>
        <v>0</v>
      </c>
      <c r="AH103" s="64">
        <f t="shared" ca="1" si="95"/>
        <v>0</v>
      </c>
      <c r="AI103" s="64">
        <f t="shared" ca="1" si="109"/>
        <v>213047.79838359187</v>
      </c>
      <c r="AJ103" s="57"/>
      <c r="AK103" s="51">
        <f ca="1">SUM(AD103:AD$109,AG103:AG$109)/D103+SUM(AE104:AF$110,AH104:AH$109)/D103</f>
        <v>1349461.3471169041</v>
      </c>
      <c r="AL103" s="51">
        <f>SUM(AE104:$AF$110)*$G$14/D103</f>
        <v>43114.798891246988</v>
      </c>
      <c r="AM103" s="51"/>
      <c r="AN103" s="51">
        <f ca="1">-SUM(AD103:$AD$110,AH103:$AH$110)/D103</f>
        <v>87698.615924662241</v>
      </c>
      <c r="AO103" s="51">
        <f ca="1">-SUM(W103:$W$110,AA103:$AA$110)</f>
        <v>87812.368573853251</v>
      </c>
      <c r="AQ103" s="9">
        <f t="shared" ref="AQ103:AR103" ca="1" si="121">AK103-AK76</f>
        <v>11926.925682389643</v>
      </c>
      <c r="AR103" s="9">
        <f t="shared" si="121"/>
        <v>361.17837422500452</v>
      </c>
      <c r="AS103" s="9">
        <f t="shared" ca="1" si="86"/>
        <v>0</v>
      </c>
    </row>
    <row r="104" spans="1:45" outlineLevel="1" x14ac:dyDescent="0.55000000000000004">
      <c r="A104" s="9"/>
      <c r="B104" s="1" t="s">
        <v>22</v>
      </c>
      <c r="C104" s="3">
        <v>11</v>
      </c>
      <c r="D104" s="87">
        <f t="shared" si="97"/>
        <v>0.95873377021597694</v>
      </c>
      <c r="E104" s="4"/>
      <c r="F104" s="112">
        <f t="shared" si="110"/>
        <v>0.74845708004256861</v>
      </c>
      <c r="G104" s="84">
        <f t="shared" si="111"/>
        <v>0.75844527573174236</v>
      </c>
      <c r="H104" s="154">
        <f t="shared" si="112"/>
        <v>0.71757107819405308</v>
      </c>
      <c r="I104" s="4"/>
      <c r="J104" s="116">
        <f t="shared" si="88"/>
        <v>1</v>
      </c>
      <c r="K104" s="156">
        <f t="shared" si="113"/>
        <v>6.25E-2</v>
      </c>
      <c r="L104" s="155">
        <f t="shared" si="114"/>
        <v>0.75844527573174236</v>
      </c>
      <c r="M104" s="155">
        <f t="shared" si="115"/>
        <v>0.72714709870478955</v>
      </c>
      <c r="N104" s="4"/>
      <c r="O104" s="116">
        <f t="shared" si="89"/>
        <v>1</v>
      </c>
      <c r="P104" s="94">
        <f t="shared" si="116"/>
        <v>6.25E-2</v>
      </c>
      <c r="Q104" s="155">
        <f t="shared" si="117"/>
        <v>0.75844527573174236</v>
      </c>
      <c r="R104" s="155">
        <f t="shared" si="118"/>
        <v>0.72714709870478955</v>
      </c>
      <c r="S104" s="51"/>
      <c r="T104" s="139">
        <f t="shared" si="90"/>
        <v>6.0769058883075608E-3</v>
      </c>
      <c r="U104" s="136">
        <f t="shared" si="106"/>
        <v>6.0769058883075608E-3</v>
      </c>
      <c r="W104" s="63">
        <f t="shared" si="81"/>
        <v>-45785.087588599774</v>
      </c>
      <c r="X104" s="63">
        <f t="shared" si="107"/>
        <v>215005.25262176839</v>
      </c>
      <c r="Y104" s="63">
        <f t="shared" si="108"/>
        <v>42100.710752394487</v>
      </c>
      <c r="Z104" s="63">
        <v>0</v>
      </c>
      <c r="AA104" s="63">
        <f t="shared" ca="1" si="91"/>
        <v>0</v>
      </c>
      <c r="AB104" s="64">
        <f t="shared" ca="1" si="119"/>
        <v>211320.87578556311</v>
      </c>
      <c r="AC104" s="51"/>
      <c r="AD104" s="51">
        <f t="shared" si="82"/>
        <v>-43895.709643486996</v>
      </c>
      <c r="AE104" s="64">
        <f t="shared" si="93"/>
        <v>206132.79646230658</v>
      </c>
      <c r="AF104" s="64">
        <f t="shared" si="94"/>
        <v>40363.373148415485</v>
      </c>
      <c r="AG104" s="51">
        <f t="shared" si="83"/>
        <v>0</v>
      </c>
      <c r="AH104" s="64">
        <f t="shared" ca="1" si="95"/>
        <v>0</v>
      </c>
      <c r="AI104" s="64">
        <f t="shared" ca="1" si="109"/>
        <v>202600.45996723505</v>
      </c>
      <c r="AJ104" s="57"/>
      <c r="AK104" s="51">
        <f ca="1">SUM(AD104:AD$109,AG104:AG$109)/D104+SUM(AE105:AF$110,AH105:AH$109)/D104</f>
        <v>1137848.4166701217</v>
      </c>
      <c r="AL104" s="51">
        <f>SUM(AE105:$AF$110)*$G$14/D104</f>
        <v>35509.005127761651</v>
      </c>
      <c r="AM104" s="51"/>
      <c r="AN104" s="51">
        <f ca="1">-SUM(AD104:$AD$110,AH104:$AH$110)/D104</f>
        <v>45785.087588599774</v>
      </c>
      <c r="AO104" s="51">
        <f ca="1">-SUM(W104:$W$110,AA104:$AA$110)</f>
        <v>45785.087588599774</v>
      </c>
      <c r="AQ104" s="9">
        <f t="shared" ref="AQ104:AR104" ca="1" si="122">AK104-AK77</f>
        <v>8546.0072943947744</v>
      </c>
      <c r="AR104" s="9">
        <f t="shared" si="122"/>
        <v>256.38021883185138</v>
      </c>
      <c r="AS104" s="9">
        <f t="shared" ca="1" si="86"/>
        <v>0</v>
      </c>
    </row>
    <row r="105" spans="1:45" outlineLevel="1" x14ac:dyDescent="0.55000000000000004">
      <c r="A105" s="9"/>
      <c r="B105" s="1" t="s">
        <v>23</v>
      </c>
      <c r="C105" s="3">
        <v>12</v>
      </c>
      <c r="D105" s="87">
        <f t="shared" si="97"/>
        <v>0.95635180455914781</v>
      </c>
      <c r="E105" s="4"/>
      <c r="F105" s="112">
        <f t="shared" si="110"/>
        <v>0.72900000000000009</v>
      </c>
      <c r="G105" s="84">
        <f t="shared" si="111"/>
        <v>0.73872854002128441</v>
      </c>
      <c r="H105" s="154">
        <f t="shared" si="112"/>
        <v>0.6971804655236189</v>
      </c>
      <c r="I105" s="4"/>
      <c r="J105" s="116">
        <f t="shared" si="88"/>
        <v>1</v>
      </c>
      <c r="K105" s="156">
        <f t="shared" si="113"/>
        <v>6.25E-2</v>
      </c>
      <c r="L105" s="155">
        <f t="shared" si="114"/>
        <v>0.73872854002128441</v>
      </c>
      <c r="M105" s="155">
        <f t="shared" si="115"/>
        <v>0.70648437232869998</v>
      </c>
      <c r="N105" s="4"/>
      <c r="O105" s="116">
        <f t="shared" si="89"/>
        <v>1</v>
      </c>
      <c r="P105" s="94">
        <f t="shared" si="116"/>
        <v>6.25E-2</v>
      </c>
      <c r="Q105" s="155">
        <f t="shared" si="117"/>
        <v>0.73872854002128441</v>
      </c>
      <c r="R105" s="155">
        <f t="shared" si="118"/>
        <v>0.70648437232869998</v>
      </c>
      <c r="S105" s="51"/>
      <c r="T105" s="139">
        <f t="shared" si="90"/>
        <v>6.7969588236102014E-3</v>
      </c>
      <c r="U105" s="136">
        <f t="shared" si="106"/>
        <v>6.7969588236102014E-3</v>
      </c>
      <c r="W105" s="63">
        <f t="shared" si="81"/>
        <v>0</v>
      </c>
      <c r="X105" s="63">
        <f t="shared" si="107"/>
        <v>209677.20206474859</v>
      </c>
      <c r="Y105" s="63">
        <f t="shared" si="108"/>
        <v>41006.250000000007</v>
      </c>
      <c r="Z105" s="63">
        <v>0</v>
      </c>
      <c r="AA105" s="63">
        <f t="shared" ca="1" si="91"/>
        <v>0</v>
      </c>
      <c r="AB105" s="64">
        <f t="shared" ca="1" si="119"/>
        <v>250683.45206474859</v>
      </c>
      <c r="AC105" s="51"/>
      <c r="AD105" s="51">
        <f t="shared" si="82"/>
        <v>0</v>
      </c>
      <c r="AE105" s="64">
        <f t="shared" si="93"/>
        <v>200525.1705695354</v>
      </c>
      <c r="AF105" s="64">
        <f t="shared" si="94"/>
        <v>39216.401185703558</v>
      </c>
      <c r="AG105" s="51">
        <f t="shared" si="83"/>
        <v>0</v>
      </c>
      <c r="AH105" s="64">
        <f t="shared" ca="1" si="95"/>
        <v>0</v>
      </c>
      <c r="AI105" s="64">
        <f t="shared" ca="1" si="109"/>
        <v>239741.57175523895</v>
      </c>
      <c r="AJ105" s="57"/>
      <c r="AK105" s="51">
        <f ca="1">SUM(AD105:AD$109,AG105:AG$109)/D105+SUM(AE106:AF$110,AH106:AH$109)/D105</f>
        <v>935898.10367876757</v>
      </c>
      <c r="AL105" s="51">
        <f>SUM(AE106:$AF$110)*$G$14/D105</f>
        <v>28076.943110363027</v>
      </c>
      <c r="AM105" s="51"/>
      <c r="AN105" s="51">
        <f ca="1">-SUM(AD105:$AD$110,AH105:$AH$110)/D105</f>
        <v>0</v>
      </c>
      <c r="AO105" s="51">
        <f ca="1">-SUM(W105:$W$110,AA105:$AA$110)</f>
        <v>0</v>
      </c>
      <c r="AQ105" s="9">
        <f t="shared" ref="AQ105:AR105" ca="1" si="123">AK105-AK78</f>
        <v>5662.17993922811</v>
      </c>
      <c r="AR105" s="9">
        <f t="shared" si="123"/>
        <v>169.86539817684388</v>
      </c>
      <c r="AS105" s="9">
        <f t="shared" ca="1" si="86"/>
        <v>0</v>
      </c>
    </row>
    <row r="106" spans="1:45" outlineLevel="1" x14ac:dyDescent="0.55000000000000004">
      <c r="A106" s="9"/>
      <c r="B106" s="1" t="s">
        <v>24</v>
      </c>
      <c r="C106" s="3">
        <v>13</v>
      </c>
      <c r="D106" s="87">
        <f t="shared" si="97"/>
        <v>0.95397575687513503</v>
      </c>
      <c r="E106" s="4"/>
      <c r="F106" s="112">
        <f t="shared" si="110"/>
        <v>0.71004873114404132</v>
      </c>
      <c r="G106" s="84">
        <f t="shared" si="111"/>
        <v>0.71952436557202071</v>
      </c>
      <c r="H106" s="154">
        <f t="shared" si="112"/>
        <v>0.67736927571136607</v>
      </c>
      <c r="I106" s="4"/>
      <c r="J106" s="116">
        <f t="shared" si="88"/>
        <v>1</v>
      </c>
      <c r="K106" s="156">
        <f t="shared" si="113"/>
        <v>6.25E-2</v>
      </c>
      <c r="L106" s="155">
        <f t="shared" si="114"/>
        <v>0.71952436557202071</v>
      </c>
      <c r="M106" s="155">
        <f t="shared" si="115"/>
        <v>0.68640880123666981</v>
      </c>
      <c r="N106" s="4"/>
      <c r="O106" s="116">
        <f t="shared" si="89"/>
        <v>1</v>
      </c>
      <c r="P106" s="94">
        <f t="shared" si="116"/>
        <v>6.25E-2</v>
      </c>
      <c r="Q106" s="155">
        <f t="shared" si="117"/>
        <v>0.71952436557202071</v>
      </c>
      <c r="R106" s="155">
        <f t="shared" si="118"/>
        <v>0.68640880123666981</v>
      </c>
      <c r="S106" s="51"/>
      <c r="T106" s="139">
        <f t="shared" si="90"/>
        <v>0</v>
      </c>
      <c r="U106" s="136">
        <f t="shared" si="106"/>
        <v>0</v>
      </c>
      <c r="W106" s="63">
        <f t="shared" si="81"/>
        <v>0</v>
      </c>
      <c r="X106" s="63">
        <f t="shared" si="107"/>
        <v>204481.18606219659</v>
      </c>
      <c r="Y106" s="63">
        <f t="shared" si="108"/>
        <v>39940.241126852321</v>
      </c>
      <c r="Z106" s="63">
        <v>0</v>
      </c>
      <c r="AA106" s="63">
        <f t="shared" ca="1" si="91"/>
        <v>0</v>
      </c>
      <c r="AB106" s="64">
        <f t="shared" ca="1" si="119"/>
        <v>244421.4271890489</v>
      </c>
      <c r="AC106" s="51"/>
      <c r="AD106" s="51">
        <f t="shared" si="82"/>
        <v>0</v>
      </c>
      <c r="AE106" s="64">
        <f t="shared" si="93"/>
        <v>195070.09424040929</v>
      </c>
      <c r="AF106" s="64">
        <f t="shared" si="94"/>
        <v>38102.021758764342</v>
      </c>
      <c r="AG106" s="51">
        <f t="shared" si="83"/>
        <v>0</v>
      </c>
      <c r="AH106" s="64">
        <f t="shared" ca="1" si="95"/>
        <v>0</v>
      </c>
      <c r="AI106" s="64">
        <f t="shared" ca="1" si="96"/>
        <v>233172.11599917363</v>
      </c>
      <c r="AJ106" s="57"/>
      <c r="AK106" s="51">
        <f ca="1">SUM(AD106:AD$109,AG106:AG$109)/D106+SUM(AE107:AF$110,AH107:AH$109)/D106</f>
        <v>693807.69853686367</v>
      </c>
      <c r="AL106" s="51">
        <f>SUM(AE107:$AF$110)*$G$14/D106</f>
        <v>20814.230956105912</v>
      </c>
      <c r="AM106" s="51"/>
      <c r="AN106" s="51">
        <f ca="1">-SUM(AD106:$AD$110,AH106:$AH$110)/D106</f>
        <v>0</v>
      </c>
      <c r="AO106" s="51">
        <f ca="1">-SUM(W106:$W$110,AA106:$AA$110)</f>
        <v>0</v>
      </c>
      <c r="AQ106" s="9">
        <f t="shared" ref="AQ106:AR106" ca="1" si="124">AK106-AK79</f>
        <v>3376.5047499177745</v>
      </c>
      <c r="AR106" s="9">
        <f t="shared" si="124"/>
        <v>101.29514249753265</v>
      </c>
      <c r="AS106" s="9">
        <f t="shared" ca="1" si="86"/>
        <v>0</v>
      </c>
    </row>
    <row r="107" spans="1:45" outlineLevel="1" x14ac:dyDescent="0.55000000000000004">
      <c r="A107" s="9"/>
      <c r="B107" s="1" t="s">
        <v>25</v>
      </c>
      <c r="C107" s="3">
        <v>14</v>
      </c>
      <c r="D107" s="87">
        <f t="shared" si="97"/>
        <v>0.95160561246078712</v>
      </c>
      <c r="E107" s="4"/>
      <c r="F107" s="112">
        <f t="shared" si="110"/>
        <v>0.6915901242788246</v>
      </c>
      <c r="G107" s="84">
        <f t="shared" si="111"/>
        <v>0.70081942771143302</v>
      </c>
      <c r="H107" s="154">
        <f t="shared" si="112"/>
        <v>0.65812104378618275</v>
      </c>
      <c r="I107" s="4"/>
      <c r="J107" s="116">
        <f t="shared" si="88"/>
        <v>1</v>
      </c>
      <c r="K107" s="156">
        <f t="shared" si="113"/>
        <v>6.25E-2</v>
      </c>
      <c r="L107" s="155">
        <f t="shared" si="114"/>
        <v>0.70081942771143302</v>
      </c>
      <c r="M107" s="155">
        <f t="shared" si="115"/>
        <v>0.66690370073175653</v>
      </c>
      <c r="N107" s="4"/>
      <c r="O107" s="116">
        <f t="shared" si="89"/>
        <v>1</v>
      </c>
      <c r="P107" s="94">
        <f t="shared" si="116"/>
        <v>6.25E-2</v>
      </c>
      <c r="Q107" s="155">
        <f t="shared" si="117"/>
        <v>0.70081942771143302</v>
      </c>
      <c r="R107" s="155">
        <f t="shared" si="118"/>
        <v>0.66690370073175653</v>
      </c>
      <c r="S107" s="51"/>
      <c r="T107" s="139">
        <f t="shared" si="90"/>
        <v>0</v>
      </c>
      <c r="U107" s="136">
        <f t="shared" si="106"/>
        <v>0</v>
      </c>
      <c r="W107" s="63">
        <f t="shared" si="81"/>
        <v>0</v>
      </c>
      <c r="X107" s="63">
        <f t="shared" si="107"/>
        <v>199413.93266250708</v>
      </c>
      <c r="Y107" s="63">
        <f t="shared" si="108"/>
        <v>38901.944490683883</v>
      </c>
      <c r="Z107" s="63">
        <v>0</v>
      </c>
      <c r="AA107" s="63">
        <f t="shared" ca="1" si="91"/>
        <v>0</v>
      </c>
      <c r="AB107" s="64">
        <f t="shared" ca="1" si="119"/>
        <v>238315.87715319096</v>
      </c>
      <c r="AC107" s="51"/>
      <c r="AD107" s="51">
        <f t="shared" si="82"/>
        <v>0</v>
      </c>
      <c r="AE107" s="64">
        <f t="shared" si="93"/>
        <v>189763.4175245192</v>
      </c>
      <c r="AF107" s="64">
        <f t="shared" si="94"/>
        <v>37019.308712972779</v>
      </c>
      <c r="AG107" s="51">
        <f t="shared" si="83"/>
        <v>0</v>
      </c>
      <c r="AH107" s="64">
        <f t="shared" ca="1" si="95"/>
        <v>0</v>
      </c>
      <c r="AI107" s="64">
        <f t="shared" ca="1" si="96"/>
        <v>226782.726237492</v>
      </c>
      <c r="AJ107" s="57"/>
      <c r="AK107" s="51">
        <f ca="1">SUM(AD107:AD$109,AG107:AG$109)/D107+SUM(AE108:AF$110,AH108:AH$109)/D107</f>
        <v>457219.87386653526</v>
      </c>
      <c r="AL107" s="51">
        <f>SUM(AE108:$AF$110)*$G$14/D107</f>
        <v>13716.596215996058</v>
      </c>
      <c r="AM107" s="51"/>
      <c r="AN107" s="51">
        <f ca="1">-SUM(AD107:$AD$110,AH107:$AH$110)/D107</f>
        <v>0</v>
      </c>
      <c r="AO107" s="51">
        <f ca="1">-SUM(W107:$W$110,AA107:$AA$110)</f>
        <v>0</v>
      </c>
      <c r="AQ107" s="9">
        <f t="shared" ref="AQ107:AR107" ca="1" si="125">AK107-AK80</f>
        <v>1677.9944620103925</v>
      </c>
      <c r="AR107" s="9">
        <f t="shared" si="125"/>
        <v>50.339833860312865</v>
      </c>
      <c r="AS107" s="9">
        <f t="shared" ca="1" si="86"/>
        <v>0</v>
      </c>
    </row>
    <row r="108" spans="1:45" outlineLevel="1" x14ac:dyDescent="0.55000000000000004">
      <c r="A108" s="9"/>
      <c r="B108" s="1" t="s">
        <v>26</v>
      </c>
      <c r="C108" s="3">
        <v>15</v>
      </c>
      <c r="D108" s="87">
        <f t="shared" si="97"/>
        <v>0.94924135664948217</v>
      </c>
      <c r="E108" s="4"/>
      <c r="F108" s="112">
        <f t="shared" si="110"/>
        <v>0.67361137203831178</v>
      </c>
      <c r="G108" s="84">
        <f t="shared" si="111"/>
        <v>0.68260074815856819</v>
      </c>
      <c r="H108" s="154">
        <f t="shared" si="112"/>
        <v>0.63941977264816618</v>
      </c>
      <c r="I108" s="4"/>
      <c r="J108" s="116">
        <f t="shared" si="88"/>
        <v>1</v>
      </c>
      <c r="K108" s="156">
        <f t="shared" si="113"/>
        <v>6.25E-2</v>
      </c>
      <c r="L108" s="155">
        <f t="shared" si="114"/>
        <v>0.68260074815856819</v>
      </c>
      <c r="M108" s="155">
        <f t="shared" si="115"/>
        <v>0.64795286023199083</v>
      </c>
      <c r="N108" s="4"/>
      <c r="O108" s="116">
        <f t="shared" si="89"/>
        <v>1</v>
      </c>
      <c r="P108" s="94">
        <f t="shared" si="116"/>
        <v>6.25E-2</v>
      </c>
      <c r="Q108" s="155">
        <f t="shared" si="117"/>
        <v>0.68260074815856819</v>
      </c>
      <c r="R108" s="155">
        <f t="shared" si="118"/>
        <v>0.64795286023199083</v>
      </c>
      <c r="S108" s="51"/>
      <c r="T108" s="139">
        <f t="shared" si="90"/>
        <v>0</v>
      </c>
      <c r="U108" s="136">
        <f t="shared" si="106"/>
        <v>0</v>
      </c>
      <c r="W108" s="63">
        <f t="shared" si="81"/>
        <v>0</v>
      </c>
      <c r="X108" s="63">
        <f t="shared" si="107"/>
        <v>194472.25099638948</v>
      </c>
      <c r="Y108" s="63">
        <f t="shared" si="108"/>
        <v>37890.639677155035</v>
      </c>
      <c r="Z108" s="63">
        <v>0</v>
      </c>
      <c r="AA108" s="63">
        <f t="shared" ca="1" si="91"/>
        <v>0</v>
      </c>
      <c r="AB108" s="64">
        <f t="shared" ca="1" si="119"/>
        <v>232362.89067354452</v>
      </c>
      <c r="AC108" s="51"/>
      <c r="AD108" s="51">
        <f t="shared" si="82"/>
        <v>0</v>
      </c>
      <c r="AE108" s="64">
        <f t="shared" si="93"/>
        <v>184601.10336649136</v>
      </c>
      <c r="AF108" s="64">
        <f t="shared" si="94"/>
        <v>35967.362211459345</v>
      </c>
      <c r="AG108" s="51">
        <f t="shared" si="83"/>
        <v>0</v>
      </c>
      <c r="AH108" s="64">
        <f t="shared" ca="1" si="95"/>
        <v>0</v>
      </c>
      <c r="AI108" s="64">
        <f t="shared" ca="1" si="96"/>
        <v>220568.4655779507</v>
      </c>
      <c r="AJ108" s="57"/>
      <c r="AK108" s="51">
        <f ca="1">SUM(AD108:AD$109,AG108:AG$109)/D108+SUM(AE109:AF$110,AH109:AH$109)/D108</f>
        <v>225995.77127492658</v>
      </c>
      <c r="AL108" s="51">
        <f>SUM(AE109:$AF$110)*$G$14/D108</f>
        <v>6779.8731382477972</v>
      </c>
      <c r="AM108" s="51"/>
      <c r="AN108" s="51">
        <f ca="1">-SUM(AD108:$AD$110,AH108:$AH$110)/D108</f>
        <v>0</v>
      </c>
      <c r="AO108" s="51">
        <f ca="1">-SUM(W108:$W$110,AA108:$AA$110)</f>
        <v>0</v>
      </c>
      <c r="AQ108" s="9">
        <f t="shared" ref="AQ108:AR108" ca="1" si="126">AK108-AK81</f>
        <v>555.95936773283756</v>
      </c>
      <c r="AR108" s="9">
        <f t="shared" si="126"/>
        <v>16.678781031985636</v>
      </c>
      <c r="AS108" s="9">
        <f t="shared" ca="1" si="86"/>
        <v>0</v>
      </c>
    </row>
    <row r="109" spans="1:45" outlineLevel="1" x14ac:dyDescent="0.55000000000000004">
      <c r="A109" s="9"/>
      <c r="B109" s="1" t="s">
        <v>27</v>
      </c>
      <c r="C109" s="3">
        <v>16</v>
      </c>
      <c r="D109" s="87">
        <f t="shared" si="97"/>
        <v>0.94688297481103745</v>
      </c>
      <c r="E109" s="4"/>
      <c r="F109" s="112">
        <f t="shared" si="110"/>
        <v>0.65610000000000013</v>
      </c>
      <c r="G109" s="84">
        <f t="shared" si="111"/>
        <v>0.6648556860191559</v>
      </c>
      <c r="H109" s="154">
        <f t="shared" si="112"/>
        <v>0.62124991977352184</v>
      </c>
      <c r="I109" s="4"/>
      <c r="J109" s="116">
        <f t="shared" si="88"/>
        <v>1</v>
      </c>
      <c r="K109" s="156">
        <f t="shared" si="113"/>
        <v>6.25E-2</v>
      </c>
      <c r="L109" s="155">
        <f t="shared" si="114"/>
        <v>0.6648556860191559</v>
      </c>
      <c r="M109" s="155">
        <f t="shared" si="115"/>
        <v>0.62954052979785147</v>
      </c>
      <c r="N109" s="4"/>
      <c r="O109" s="116">
        <f t="shared" si="89"/>
        <v>1</v>
      </c>
      <c r="P109" s="94">
        <f t="shared" si="116"/>
        <v>6.25E-2</v>
      </c>
      <c r="Q109" s="155">
        <f t="shared" si="117"/>
        <v>0.6648556860191559</v>
      </c>
      <c r="R109" s="155">
        <f t="shared" si="118"/>
        <v>0.62954052979785147</v>
      </c>
      <c r="S109" s="51"/>
      <c r="T109" s="139">
        <f t="shared" si="90"/>
        <v>0</v>
      </c>
      <c r="U109" s="136">
        <f t="shared" si="106"/>
        <v>0</v>
      </c>
      <c r="W109" s="63">
        <f t="shared" si="81"/>
        <v>0</v>
      </c>
      <c r="X109" s="63">
        <f t="shared" si="107"/>
        <v>189653.02926756509</v>
      </c>
      <c r="Y109" s="63">
        <f t="shared" si="108"/>
        <v>36905.625000000007</v>
      </c>
      <c r="Z109" s="63">
        <v>0</v>
      </c>
      <c r="AA109" s="63">
        <f t="shared" ca="1" si="91"/>
        <v>0</v>
      </c>
      <c r="AB109" s="64">
        <f t="shared" ca="1" si="119"/>
        <v>226558.65426756509</v>
      </c>
      <c r="AC109" s="51"/>
      <c r="AD109" s="51">
        <f t="shared" si="82"/>
        <v>0</v>
      </c>
      <c r="AE109" s="64">
        <f t="shared" si="93"/>
        <v>179579.22453479678</v>
      </c>
      <c r="AF109" s="64">
        <f t="shared" si="94"/>
        <v>34945.307987260603</v>
      </c>
      <c r="AG109" s="51">
        <f t="shared" si="83"/>
        <v>0</v>
      </c>
      <c r="AH109" s="64">
        <f t="shared" ca="1" si="95"/>
        <v>0</v>
      </c>
      <c r="AI109" s="64">
        <f t="shared" ca="1" si="96"/>
        <v>214524.53252205739</v>
      </c>
      <c r="AJ109" s="57"/>
      <c r="AK109" s="51">
        <f ca="1">SUM(AD109:AD$109,AG109:AG$109)/D109+SUM(AE110:AF$110,AH$109:AH110)/D109</f>
        <v>0</v>
      </c>
      <c r="AL109" s="51">
        <f>SUM(AE110:$AF$110)*$G$14/D109</f>
        <v>0</v>
      </c>
      <c r="AM109" s="51"/>
      <c r="AN109" s="51">
        <f ca="1">-SUM(AD109:$AD$110,AH109:$AH$110)/D109</f>
        <v>0</v>
      </c>
      <c r="AO109" s="51">
        <f ca="1">-SUM(W109:$W$110,AA109:$AA$110)</f>
        <v>0</v>
      </c>
      <c r="AQ109" s="9">
        <f t="shared" ref="AQ109:AR109" ca="1" si="127">AK109-AK82</f>
        <v>0</v>
      </c>
      <c r="AR109" s="9">
        <f t="shared" si="127"/>
        <v>0</v>
      </c>
      <c r="AS109" s="9">
        <f t="shared" ca="1" si="86"/>
        <v>0</v>
      </c>
    </row>
    <row r="110" spans="1:45" outlineLevel="1" x14ac:dyDescent="0.55000000000000004">
      <c r="B110" s="8"/>
      <c r="C110" s="6"/>
      <c r="D110" s="7"/>
      <c r="E110" s="2"/>
      <c r="F110" s="113"/>
      <c r="G110" s="85"/>
      <c r="H110" s="79"/>
      <c r="I110" s="2"/>
      <c r="J110" s="6"/>
      <c r="K110" s="6"/>
      <c r="L110" s="71"/>
      <c r="M110" s="90"/>
      <c r="N110" s="2"/>
      <c r="O110" s="12"/>
      <c r="P110" s="12"/>
      <c r="Q110" s="50"/>
      <c r="R110" s="90"/>
      <c r="S110" s="55"/>
      <c r="T110" s="137"/>
      <c r="U110" s="137"/>
      <c r="W110" s="66"/>
      <c r="X110" s="66"/>
      <c r="Y110" s="66"/>
      <c r="Z110" s="66"/>
      <c r="AA110" s="66"/>
      <c r="AB110" s="66"/>
      <c r="AC110" s="55"/>
      <c r="AD110" s="67"/>
      <c r="AE110" s="68"/>
      <c r="AF110" s="68"/>
      <c r="AG110" s="67"/>
      <c r="AH110" s="67"/>
      <c r="AI110" s="68"/>
      <c r="AJ110" s="57"/>
      <c r="AK110" s="67"/>
      <c r="AL110" s="67"/>
      <c r="AM110" s="51"/>
      <c r="AN110" s="122"/>
      <c r="AO110" s="122"/>
      <c r="AQ110" s="67"/>
      <c r="AR110" s="67"/>
      <c r="AS110" s="67"/>
    </row>
    <row r="111" spans="1:45" outlineLevel="1" x14ac:dyDescent="0.55000000000000004">
      <c r="A111" s="9"/>
      <c r="B111" s="4"/>
      <c r="C111" s="4"/>
      <c r="D111" s="4"/>
      <c r="E111" s="4"/>
      <c r="F111" s="3"/>
      <c r="G111" s="3"/>
      <c r="H111" s="4"/>
      <c r="I111" s="4"/>
      <c r="J111" s="4"/>
      <c r="K111" s="4"/>
      <c r="L111" s="51"/>
      <c r="M111" s="51"/>
      <c r="N111" s="4"/>
      <c r="O111" s="4"/>
      <c r="P111" s="4"/>
      <c r="Q111" s="51"/>
      <c r="R111" s="51"/>
      <c r="S111" s="51"/>
      <c r="T111" s="4"/>
      <c r="U111" s="4"/>
      <c r="W111" s="51"/>
      <c r="X111" s="51"/>
      <c r="Y111" s="51"/>
      <c r="Z111" s="51"/>
      <c r="AA111" s="51"/>
      <c r="AB111" s="51"/>
      <c r="AC111" s="51"/>
      <c r="AD111" s="51"/>
      <c r="AE111" s="51"/>
      <c r="AF111" s="51"/>
      <c r="AG111" s="51"/>
      <c r="AH111" s="51"/>
      <c r="AI111" s="51"/>
      <c r="AJ111" s="57"/>
      <c r="AK111" s="51"/>
      <c r="AL111" s="51"/>
      <c r="AM111" s="51"/>
      <c r="AN111" s="70"/>
      <c r="AO111" s="70"/>
      <c r="AQ111" s="51"/>
      <c r="AR111" s="51"/>
      <c r="AS111" s="51"/>
    </row>
    <row r="112" spans="1:45" outlineLevel="1" x14ac:dyDescent="0.55000000000000004">
      <c r="A112" s="9"/>
      <c r="B112" s="24"/>
      <c r="C112" s="24"/>
      <c r="D112" s="25"/>
      <c r="E112" s="4"/>
      <c r="F112" s="26"/>
      <c r="G112" s="26"/>
      <c r="H112" s="26"/>
      <c r="I112" s="4"/>
      <c r="J112" s="80">
        <f>SUM(J94:J109)</f>
        <v>16</v>
      </c>
      <c r="K112" s="95">
        <f>SUM(K94:K109)</f>
        <v>1</v>
      </c>
      <c r="L112" s="81">
        <f>SUM(L94:L109)</f>
        <v>12.537953642112248</v>
      </c>
      <c r="M112" s="81">
        <f>SUM(M94:M109)</f>
        <v>12.142085965674374</v>
      </c>
      <c r="N112" s="4"/>
      <c r="O112" s="80">
        <f>SUM(O94:O109)</f>
        <v>16</v>
      </c>
      <c r="P112" s="95">
        <f>SUM(P94:P109)</f>
        <v>1</v>
      </c>
      <c r="Q112" s="81">
        <f>SUM(Q94:Q109)</f>
        <v>12.537953642112248</v>
      </c>
      <c r="R112" s="81">
        <f>SUM(R94:R109)</f>
        <v>12.142085965674374</v>
      </c>
      <c r="S112" s="52"/>
      <c r="T112" s="80">
        <f>SUM(T94:T109)</f>
        <v>1</v>
      </c>
      <c r="U112" s="95">
        <f>SUM(U94:U109)</f>
        <v>1</v>
      </c>
      <c r="W112" s="52">
        <f t="shared" ref="W112:AB112" si="128">SUM(W93:W109)</f>
        <v>-8014750.776667404</v>
      </c>
      <c r="X112" s="52">
        <f t="shared" si="128"/>
        <v>3816123.5079742712</v>
      </c>
      <c r="Y112" s="52">
        <f t="shared" si="128"/>
        <v>835037.10379638313</v>
      </c>
      <c r="Z112" s="52">
        <f t="shared" si="128"/>
        <v>-900000</v>
      </c>
      <c r="AA112" s="52">
        <f t="shared" ca="1" si="128"/>
        <v>0</v>
      </c>
      <c r="AB112" s="52">
        <f t="shared" ca="1" si="128"/>
        <v>-4263590.1648967499</v>
      </c>
      <c r="AC112" s="51"/>
      <c r="AD112" s="52">
        <f t="shared" ref="AD112:AI112" si="129">SUM(AD93:AD109)</f>
        <v>-7930479.1072774651</v>
      </c>
      <c r="AE112" s="52">
        <f t="shared" si="129"/>
        <v>3699189.2912915992</v>
      </c>
      <c r="AF112" s="52">
        <f t="shared" si="129"/>
        <v>810729.90027112747</v>
      </c>
      <c r="AG112" s="52">
        <f t="shared" si="129"/>
        <v>-900000</v>
      </c>
      <c r="AH112" s="52">
        <f t="shared" ca="1" si="129"/>
        <v>0</v>
      </c>
      <c r="AI112" s="52">
        <f t="shared" ca="1" si="129"/>
        <v>-4320559.9157147398</v>
      </c>
      <c r="AJ112" s="52"/>
      <c r="AK112" s="52"/>
      <c r="AL112" s="52"/>
      <c r="AM112" s="51"/>
      <c r="AN112" s="70"/>
      <c r="AO112" s="70"/>
      <c r="AQ112" s="52"/>
      <c r="AR112" s="52"/>
      <c r="AS112" s="52"/>
    </row>
    <row r="113" spans="1:52" ht="15.3" x14ac:dyDescent="0.55000000000000004">
      <c r="A113" s="9"/>
      <c r="B113" s="24"/>
      <c r="C113" s="24"/>
      <c r="D113" s="4"/>
      <c r="E113" s="4"/>
      <c r="F113" s="4"/>
      <c r="G113" s="4"/>
      <c r="H113" s="4"/>
      <c r="I113" s="4"/>
      <c r="J113" s="24"/>
      <c r="K113" s="24"/>
      <c r="L113" s="52"/>
      <c r="M113" s="52"/>
      <c r="N113" s="4"/>
      <c r="O113" s="24"/>
      <c r="P113" s="24"/>
      <c r="Q113" s="52"/>
      <c r="R113" s="52"/>
      <c r="S113" s="51"/>
      <c r="T113" s="52"/>
      <c r="U113" s="72"/>
      <c r="V113" s="72"/>
      <c r="W113" s="52"/>
      <c r="X113" s="52"/>
      <c r="Y113" s="52"/>
      <c r="Z113" s="51"/>
      <c r="AA113" s="52"/>
      <c r="AB113" s="73"/>
      <c r="AC113" s="73"/>
      <c r="AD113" s="52"/>
      <c r="AE113" s="52"/>
      <c r="AF113" s="52"/>
      <c r="AG113" s="57"/>
      <c r="AH113" s="52"/>
      <c r="AI113" s="52"/>
      <c r="AJ113" s="51"/>
      <c r="AK113" s="51"/>
      <c r="AL113" s="51"/>
    </row>
    <row r="114" spans="1:52" ht="15.3" x14ac:dyDescent="0.55000000000000004">
      <c r="A114" s="9"/>
      <c r="B114" s="24"/>
      <c r="C114" s="24"/>
      <c r="D114" s="4"/>
      <c r="E114" s="4"/>
      <c r="F114" s="4"/>
      <c r="G114" s="4"/>
      <c r="H114" s="4"/>
      <c r="I114" s="4"/>
      <c r="J114" s="24"/>
      <c r="K114" s="24"/>
      <c r="L114" s="52"/>
      <c r="M114" s="52"/>
      <c r="N114" s="4"/>
      <c r="O114" s="24"/>
      <c r="P114" s="24"/>
      <c r="Q114" s="52"/>
      <c r="R114" s="52"/>
      <c r="S114" s="51"/>
      <c r="T114" s="52"/>
      <c r="U114" s="72"/>
      <c r="V114" s="72"/>
      <c r="W114" s="52"/>
      <c r="X114" s="52"/>
      <c r="Y114" s="52"/>
      <c r="Z114" s="51"/>
      <c r="AA114" s="52"/>
      <c r="AB114" s="73"/>
      <c r="AC114" s="73"/>
      <c r="AD114" s="52"/>
      <c r="AE114" s="52"/>
      <c r="AF114" s="52"/>
      <c r="AG114" s="57"/>
      <c r="AH114" s="52"/>
      <c r="AI114" s="52"/>
      <c r="AJ114" s="51"/>
      <c r="AK114" s="51"/>
      <c r="AL114" s="51"/>
    </row>
    <row r="115" spans="1:52" ht="18.3" x14ac:dyDescent="0.55000000000000004">
      <c r="A115" s="2"/>
      <c r="B115" s="144" t="s">
        <v>174</v>
      </c>
      <c r="C115" s="108"/>
      <c r="D115" s="109"/>
      <c r="H115" s="106"/>
      <c r="J115" s="2"/>
      <c r="K115" s="2"/>
      <c r="N115" s="2"/>
      <c r="O115" s="2"/>
      <c r="P115" s="2"/>
      <c r="Q115" s="2"/>
      <c r="S115" s="2"/>
      <c r="T115" s="2"/>
      <c r="U115" s="2"/>
      <c r="V115" s="2"/>
      <c r="W115" s="2"/>
      <c r="X115" s="2"/>
      <c r="Y115" s="2"/>
      <c r="Z115" s="2"/>
      <c r="AA115" s="22"/>
      <c r="AB115" s="2"/>
      <c r="AC115" s="2"/>
      <c r="AD115" s="2"/>
      <c r="AE115" s="2"/>
      <c r="AF115" s="2"/>
      <c r="AG115" s="21"/>
      <c r="AH115" s="2"/>
      <c r="AI115" s="2"/>
      <c r="AJ115" s="2"/>
      <c r="AK115" s="2"/>
      <c r="AL115" s="2"/>
    </row>
    <row r="116" spans="1:52" s="2" customFormat="1" outlineLevel="1" x14ac:dyDescent="0.55000000000000004">
      <c r="A116"/>
      <c r="B116"/>
      <c r="C116"/>
      <c r="AL116" s="70"/>
      <c r="AM116" s="70"/>
      <c r="AN116" s="70"/>
    </row>
    <row r="117" spans="1:52" s="2" customFormat="1" ht="19.899999999999999" customHeight="1" outlineLevel="1" x14ac:dyDescent="0.55000000000000004">
      <c r="A117"/>
      <c r="B117" s="173" t="s">
        <v>155</v>
      </c>
      <c r="C117" s="173"/>
      <c r="D117" s="13"/>
      <c r="E117" s="175" t="s">
        <v>144</v>
      </c>
      <c r="F117" s="175"/>
      <c r="G117" s="175"/>
      <c r="H117" s="175"/>
      <c r="I117" s="175"/>
      <c r="J117" s="175"/>
      <c r="K117" s="175"/>
      <c r="L117" s="175"/>
      <c r="M117" s="175"/>
      <c r="O117" s="175" t="s">
        <v>341</v>
      </c>
      <c r="P117" s="175"/>
      <c r="Q117" s="175"/>
      <c r="R117" s="175"/>
      <c r="S117" s="175"/>
      <c r="T117" s="175"/>
      <c r="U117" s="175"/>
      <c r="W117" s="175" t="s">
        <v>145</v>
      </c>
      <c r="X117" s="175"/>
      <c r="Y117" s="175"/>
      <c r="Z117" s="175"/>
      <c r="AA117" s="175"/>
      <c r="AB117" s="175"/>
      <c r="AC117" s="175"/>
      <c r="AD117" s="175"/>
      <c r="AE117" s="175"/>
      <c r="AF117" s="110"/>
      <c r="AG117" s="175" t="s">
        <v>153</v>
      </c>
      <c r="AH117" s="175"/>
      <c r="AI117" s="175"/>
      <c r="AJ117" s="175"/>
      <c r="AK117" s="175"/>
      <c r="AL117" s="175"/>
      <c r="AM117" s="175"/>
      <c r="AN117" s="175"/>
      <c r="AO117" s="175"/>
      <c r="AQ117" s="70"/>
      <c r="AR117" s="70"/>
      <c r="AS117" s="70"/>
    </row>
    <row r="118" spans="1:52" s="2" customFormat="1" ht="30.6" customHeight="1" outlineLevel="1" x14ac:dyDescent="0.55000000000000004">
      <c r="A118"/>
      <c r="B118" s="146" t="s">
        <v>149</v>
      </c>
      <c r="C118" s="146" t="s">
        <v>10</v>
      </c>
      <c r="D118" s="13"/>
      <c r="E118" s="76" t="s">
        <v>11</v>
      </c>
      <c r="F118" s="76" t="s">
        <v>353</v>
      </c>
      <c r="G118" s="76" t="s">
        <v>354</v>
      </c>
      <c r="H118" s="76" t="s">
        <v>13</v>
      </c>
      <c r="I118" s="76" t="s">
        <v>355</v>
      </c>
      <c r="J118" s="76" t="s">
        <v>121</v>
      </c>
      <c r="K118" s="76" t="s">
        <v>356</v>
      </c>
      <c r="L118" s="76" t="s">
        <v>357</v>
      </c>
      <c r="M118" s="76" t="s">
        <v>15</v>
      </c>
      <c r="O118" s="76" t="s">
        <v>11</v>
      </c>
      <c r="P118" s="76" t="s">
        <v>353</v>
      </c>
      <c r="Q118" s="76" t="s">
        <v>13</v>
      </c>
      <c r="R118" s="76" t="s">
        <v>136</v>
      </c>
      <c r="S118" s="76" t="s">
        <v>356</v>
      </c>
      <c r="T118" s="76" t="s">
        <v>148</v>
      </c>
      <c r="U118" s="76" t="s">
        <v>15</v>
      </c>
      <c r="W118" s="76" t="s">
        <v>11</v>
      </c>
      <c r="X118" s="76" t="s">
        <v>353</v>
      </c>
      <c r="Y118" s="76" t="s">
        <v>13</v>
      </c>
      <c r="Z118" s="76" t="s">
        <v>399</v>
      </c>
      <c r="AA118" s="76" t="s">
        <v>356</v>
      </c>
      <c r="AB118" s="76" t="s">
        <v>402</v>
      </c>
      <c r="AC118" s="76" t="s">
        <v>403</v>
      </c>
      <c r="AD118" s="76" t="s">
        <v>136</v>
      </c>
      <c r="AE118" s="76" t="s">
        <v>15</v>
      </c>
      <c r="AF118" s="149"/>
      <c r="AG118" s="76" t="s">
        <v>11</v>
      </c>
      <c r="AH118" s="76" t="s">
        <v>353</v>
      </c>
      <c r="AI118" s="76" t="s">
        <v>13</v>
      </c>
      <c r="AJ118" s="76" t="s">
        <v>399</v>
      </c>
      <c r="AK118" s="76" t="s">
        <v>356</v>
      </c>
      <c r="AL118" s="76" t="s">
        <v>402</v>
      </c>
      <c r="AM118" s="76" t="s">
        <v>403</v>
      </c>
      <c r="AN118" s="76" t="s">
        <v>136</v>
      </c>
      <c r="AO118" s="76" t="s">
        <v>15</v>
      </c>
      <c r="AQ118" s="70"/>
      <c r="AR118" s="70"/>
      <c r="AS118" s="70"/>
    </row>
    <row r="119" spans="1:52" s="2" customFormat="1" outlineLevel="1" x14ac:dyDescent="0.55000000000000004">
      <c r="A119" s="19"/>
      <c r="B119" s="15" t="s">
        <v>276</v>
      </c>
      <c r="C119" s="15" t="s">
        <v>277</v>
      </c>
      <c r="D119" s="13"/>
      <c r="E119" s="16" t="s">
        <v>278</v>
      </c>
      <c r="F119" s="16" t="s">
        <v>279</v>
      </c>
      <c r="G119" s="16" t="s">
        <v>280</v>
      </c>
      <c r="H119" s="16" t="s">
        <v>281</v>
      </c>
      <c r="I119" s="16" t="s">
        <v>282</v>
      </c>
      <c r="J119" s="16" t="s">
        <v>283</v>
      </c>
      <c r="K119" s="16" t="s">
        <v>284</v>
      </c>
      <c r="L119" s="16" t="s">
        <v>285</v>
      </c>
      <c r="M119" s="16" t="s">
        <v>286</v>
      </c>
      <c r="O119" s="16" t="s">
        <v>287</v>
      </c>
      <c r="P119" s="16" t="s">
        <v>288</v>
      </c>
      <c r="Q119" s="16" t="s">
        <v>289</v>
      </c>
      <c r="R119" s="16" t="s">
        <v>290</v>
      </c>
      <c r="S119" s="16" t="s">
        <v>291</v>
      </c>
      <c r="T119" s="16" t="s">
        <v>292</v>
      </c>
      <c r="U119" s="16" t="s">
        <v>293</v>
      </c>
      <c r="W119" s="16" t="s">
        <v>294</v>
      </c>
      <c r="X119" s="16" t="s">
        <v>295</v>
      </c>
      <c r="Y119" s="16" t="s">
        <v>296</v>
      </c>
      <c r="Z119" s="16" t="s">
        <v>297</v>
      </c>
      <c r="AA119" s="16" t="s">
        <v>298</v>
      </c>
      <c r="AB119" s="16" t="s">
        <v>299</v>
      </c>
      <c r="AC119" s="16" t="s">
        <v>300</v>
      </c>
      <c r="AD119" s="16" t="s">
        <v>301</v>
      </c>
      <c r="AE119" s="16" t="s">
        <v>302</v>
      </c>
      <c r="AF119" s="150"/>
      <c r="AG119" s="16" t="s">
        <v>303</v>
      </c>
      <c r="AH119" s="16" t="s">
        <v>304</v>
      </c>
      <c r="AI119" s="16" t="s">
        <v>305</v>
      </c>
      <c r="AJ119" s="16" t="s">
        <v>306</v>
      </c>
      <c r="AK119" s="16" t="s">
        <v>400</v>
      </c>
      <c r="AL119" s="16" t="s">
        <v>404</v>
      </c>
      <c r="AM119" s="16" t="s">
        <v>405</v>
      </c>
      <c r="AN119" s="16" t="s">
        <v>406</v>
      </c>
      <c r="AO119" s="16" t="s">
        <v>407</v>
      </c>
      <c r="AQ119" s="70"/>
      <c r="AR119" s="70"/>
      <c r="AS119" s="70"/>
    </row>
    <row r="120" spans="1:52" s="2" customFormat="1" outlineLevel="1" x14ac:dyDescent="0.55000000000000004">
      <c r="A120"/>
      <c r="B120" s="1"/>
      <c r="C120" s="3">
        <v>0</v>
      </c>
      <c r="D120" s="13"/>
      <c r="E120" s="63"/>
      <c r="F120" s="63"/>
      <c r="G120" s="63"/>
      <c r="H120" s="63"/>
      <c r="I120" s="63"/>
      <c r="K120" s="63"/>
      <c r="L120" s="63"/>
      <c r="M120" s="63"/>
      <c r="O120" s="63"/>
      <c r="P120" s="63"/>
      <c r="Q120" s="4"/>
      <c r="R120" s="4"/>
      <c r="S120" s="4"/>
      <c r="T120" s="63"/>
      <c r="U120" s="4"/>
      <c r="W120" s="63"/>
      <c r="X120" s="4"/>
      <c r="Y120" s="4"/>
      <c r="Z120" s="4"/>
      <c r="AA120" s="4"/>
      <c r="AB120" s="4"/>
      <c r="AC120" s="4"/>
      <c r="AD120" s="4"/>
      <c r="AE120" s="4"/>
      <c r="AF120" s="110"/>
      <c r="AG120" s="63"/>
      <c r="AH120" s="4"/>
      <c r="AI120" s="4"/>
      <c r="AJ120" s="4"/>
      <c r="AK120" s="4"/>
      <c r="AL120" s="4"/>
      <c r="AM120" s="4"/>
      <c r="AN120" s="4"/>
      <c r="AO120" s="4"/>
      <c r="AQ120" s="70"/>
      <c r="AR120" s="70"/>
      <c r="AS120" s="70"/>
    </row>
    <row r="121" spans="1:52" s="2" customFormat="1" outlineLevel="1" x14ac:dyDescent="0.55000000000000004">
      <c r="A121" s="9"/>
      <c r="B121" s="1" t="s">
        <v>6</v>
      </c>
      <c r="C121" s="3">
        <v>1</v>
      </c>
      <c r="D121" s="13"/>
      <c r="E121" s="63">
        <f t="shared" ref="E121:E128" si="130">IF(C121=1,0,M120)</f>
        <v>0</v>
      </c>
      <c r="F121" s="63">
        <f t="shared" ref="F121:F136" ca="1" si="131">IF($C121=1,$AK$39,0)</f>
        <v>-4508618.2244061092</v>
      </c>
      <c r="G121" s="63">
        <f t="shared" ref="G121:G136" si="132">IF($C121&lt;=$F$8,-(W39+Z39),-(W93+Z93))</f>
        <v>2725458.6239573238</v>
      </c>
      <c r="H121" s="63">
        <f t="shared" ref="H121:H128" ca="1" si="133">SUM(E121:G121)*((1+IF($C121&lt;=$F$8,$F$17,$G$17))^(1/4)-1)</f>
        <v>-8849.6990811287887</v>
      </c>
      <c r="I121" s="63">
        <f t="shared" ref="I121:I136" si="134">IF($C121&lt;=$F$8,-(X40+Y40),-(X94+Y94))</f>
        <v>-399779.73573171976</v>
      </c>
      <c r="J121" s="63">
        <f t="shared" ref="J121:J136" ca="1" si="135">IF($C121&lt;=$F$8,-(AA40),-(AA94))</f>
        <v>0</v>
      </c>
      <c r="K121" s="63">
        <f t="shared" ref="K121:K136" si="136">IF($C121=$F$8,AQ67,0)</f>
        <v>0</v>
      </c>
      <c r="L121" s="63">
        <f t="shared" ref="L121:L136" si="137">IF($C121=$F$8,AQ94,0)</f>
        <v>0</v>
      </c>
      <c r="M121" s="63">
        <f t="shared" ref="M121:M128" ca="1" si="138">SUM(E121:L121)</f>
        <v>-2191789.0352616338</v>
      </c>
      <c r="N121" s="124"/>
      <c r="O121" s="63">
        <f t="shared" ref="O121:O128" si="139">IF(C121=1,0,U120)</f>
        <v>0</v>
      </c>
      <c r="P121" s="63">
        <f t="shared" ref="P121:P136" si="140">IF($C121=1,$AL$39,0)</f>
        <v>212439.58335774799</v>
      </c>
      <c r="Q121" s="4">
        <f t="shared" ref="Q121:Q128" si="141">SUM(O121:P121)*((1+IF($C121&lt;=$F$8,$F$17,$G$17))^(1/4)-1)</f>
        <v>1054.3231156444326</v>
      </c>
      <c r="R121" s="4">
        <f>U121-SUM(S121:T121,O121:Q121)</f>
        <v>-19988.986786585941</v>
      </c>
      <c r="S121" s="4">
        <f t="shared" ref="S121:S136" si="142">IF($C121=$F$8,AR67,0)</f>
        <v>0</v>
      </c>
      <c r="T121" s="63">
        <f t="shared" ref="T121:T136" si="143">IF($C121=$F$8,AR94,0)</f>
        <v>0</v>
      </c>
      <c r="U121" s="4">
        <f t="shared" ref="U121:U136" si="144">IF(C121&lt;$F$8,AL40,AL94)</f>
        <v>193504.91968680648</v>
      </c>
      <c r="V121" s="124"/>
      <c r="W121" s="63">
        <f t="shared" ref="W121:W136" si="145">IF(C121=1,0,AE120)</f>
        <v>0</v>
      </c>
      <c r="X121" s="4">
        <f t="shared" ref="X121:X128" ca="1" si="146">IF($C121=1,MAX(-F121-P121,0),0)</f>
        <v>4296178.6410483615</v>
      </c>
      <c r="Y121" s="4">
        <f ca="1">SUM(W121:X121)*((1+$F$17)^(1/4)-1)</f>
        <v>21321.640621782801</v>
      </c>
      <c r="Z121" s="4">
        <f ca="1">IF(AND(SUM(W121:Y121)&gt;=0,SUM(AG121:AI121)=0),IF(AND(C121=$F$8,$F$29="yes"),-(W67-W40),0),0)</f>
        <v>0</v>
      </c>
      <c r="AA121" s="4">
        <f ca="1">IF(AND(SUM(W121:Y121)&gt;=0,SUM(AG121:AI121)=0),-K121-S121,0)</f>
        <v>0</v>
      </c>
      <c r="AB121" s="4">
        <f ca="1">-MIN(SUM(W121:AA121),0)</f>
        <v>0</v>
      </c>
      <c r="AC121" s="4">
        <f ca="1">AM121</f>
        <v>0</v>
      </c>
      <c r="AD121" s="4">
        <f ca="1">-SUM(W121:AC121)*IFERROR(IF(C121&lt;$F$8,IF($F$23="yes",M40/SUM(M40:$M$56),L40/SUM(L40:$L$56)),IF($F$23="yes",M67/SUM(M67:$M$83),L67/SUM(L67:$L$83))),0)</f>
        <v>-409311.90751127776</v>
      </c>
      <c r="AE121" s="4">
        <f t="shared" ref="AE121:AE136" ca="1" si="147">SUM(W121:AD121)</f>
        <v>3908188.3741588672</v>
      </c>
      <c r="AF121" s="124"/>
      <c r="AG121" s="63">
        <f t="shared" ref="AG121:AG136" si="148">IF(C121=1,0,AO120)</f>
        <v>0</v>
      </c>
      <c r="AH121" s="4">
        <f t="shared" ref="AH121:AH136" ca="1" si="149">IF($C121=1,F121+P121+X121,0)</f>
        <v>0</v>
      </c>
      <c r="AI121" s="63">
        <f ca="1">SUM(AG121:AH121)*((1+IF($C121&lt;=$F$8,$F$17,$G$17))^(1/4)-1)</f>
        <v>0</v>
      </c>
      <c r="AJ121" s="63" t="s">
        <v>409</v>
      </c>
      <c r="AK121" s="4">
        <f ca="1">K121+S121+AA121</f>
        <v>0</v>
      </c>
      <c r="AL121" s="4">
        <f ca="1">AB121</f>
        <v>0</v>
      </c>
      <c r="AM121" s="4">
        <f ca="1">-MIN(SUM(AG121:AK121),0)</f>
        <v>0</v>
      </c>
      <c r="AN121" s="4">
        <f ca="1">-SUM(AG121:AM121)*IFERROR(IF(C121&lt;$F$8,IF($F$23="yes",M40/SUM(M40:$M$56),L40/SUM(L40:$L$56)),IF($F$23="yes",M67/SUM(M67:$M$83),L67/SUM(L67:$L$83))),0)</f>
        <v>0</v>
      </c>
      <c r="AO121" s="4">
        <f t="shared" ref="AO121:AO136" ca="1" si="150">SUM(AG121:AN121)</f>
        <v>0</v>
      </c>
      <c r="AP121" s="124"/>
      <c r="AQ121" s="70"/>
      <c r="AR121" s="70"/>
      <c r="AS121" s="70"/>
      <c r="AU121" s="125"/>
      <c r="AV121" s="4"/>
      <c r="AX121" s="126"/>
      <c r="AZ121" s="4"/>
    </row>
    <row r="122" spans="1:52" s="2" customFormat="1" outlineLevel="1" x14ac:dyDescent="0.55000000000000004">
      <c r="A122" s="9"/>
      <c r="B122" s="1" t="s">
        <v>7</v>
      </c>
      <c r="C122" s="3">
        <v>2</v>
      </c>
      <c r="D122" s="13"/>
      <c r="E122" s="63">
        <f t="shared" ca="1" si="130"/>
        <v>-2191789.0352616338</v>
      </c>
      <c r="F122" s="63">
        <f t="shared" si="131"/>
        <v>0</v>
      </c>
      <c r="G122" s="63">
        <f t="shared" si="132"/>
        <v>1516687.3113547864</v>
      </c>
      <c r="H122" s="63">
        <f t="shared" ca="1" si="133"/>
        <v>-3350.4836607016223</v>
      </c>
      <c r="I122" s="63">
        <f t="shared" si="134"/>
        <v>-378842.06247291499</v>
      </c>
      <c r="J122" s="63">
        <f t="shared" ca="1" si="135"/>
        <v>0</v>
      </c>
      <c r="K122" s="63">
        <f t="shared" si="136"/>
        <v>0</v>
      </c>
      <c r="L122" s="63">
        <f t="shared" si="137"/>
        <v>0</v>
      </c>
      <c r="M122" s="63">
        <f t="shared" ca="1" si="138"/>
        <v>-1057294.2700404641</v>
      </c>
      <c r="N122" s="124"/>
      <c r="O122" s="63">
        <f t="shared" si="139"/>
        <v>193504.91968680648</v>
      </c>
      <c r="P122" s="63">
        <f t="shared" si="140"/>
        <v>0</v>
      </c>
      <c r="Q122" s="4">
        <f t="shared" si="141"/>
        <v>960.35167548392155</v>
      </c>
      <c r="R122" s="4">
        <f t="shared" ref="R122:R129" si="151">U122-SUM(S122:T122,O122:Q122)</f>
        <v>-18942.103123645851</v>
      </c>
      <c r="S122" s="4">
        <f t="shared" si="142"/>
        <v>0</v>
      </c>
      <c r="T122" s="63">
        <f t="shared" si="143"/>
        <v>0</v>
      </c>
      <c r="U122" s="4">
        <f t="shared" si="144"/>
        <v>175523.16823864455</v>
      </c>
      <c r="V122" s="124"/>
      <c r="W122" s="63">
        <f t="shared" ca="1" si="145"/>
        <v>3908188.3741588672</v>
      </c>
      <c r="X122" s="4">
        <f t="shared" si="146"/>
        <v>0</v>
      </c>
      <c r="Y122" s="4">
        <f t="shared" ref="Y122:Y128" ca="1" si="152">SUM(W122:X122)*((1+$F$17)^(1/4)-1)</f>
        <v>19396.071476141151</v>
      </c>
      <c r="Z122" s="4">
        <f t="shared" ref="Z122:Z136" ca="1" si="153">IF(AND(SUM(W122:Y122)&gt;=0,SUM(AG122:AI122)=0),IF(AND(C122=$F$8,$F$29="yes"),-(W68-W41),0),0)</f>
        <v>0</v>
      </c>
      <c r="AA122" s="4">
        <f t="shared" ref="AA122:AA136" ca="1" si="154">IF(AND(SUM(W122:Y122)&gt;=0,SUM(AG122:AI122)=0),-K122-S122,0)</f>
        <v>0</v>
      </c>
      <c r="AB122" s="4">
        <f t="shared" ref="AB122:AB136" ca="1" si="155">-MIN(SUM(W122:AA122),0)</f>
        <v>0</v>
      </c>
      <c r="AC122" s="4">
        <f t="shared" ref="AC122:AC136" ca="1" si="156">AM122</f>
        <v>0</v>
      </c>
      <c r="AD122" s="4">
        <f ca="1">-SUM(W122:AC122)*IFERROR(IF(C122&lt;$F$8,IF($F$23="yes",M41/SUM(M41:$M$56),L41/SUM(L41:$L$56)),IF($F$23="yes",M68/SUM(M68:$M$83),L68/SUM(L68:$L$83))),0)</f>
        <v>-387103.30199387507</v>
      </c>
      <c r="AE122" s="4">
        <f t="shared" ca="1" si="147"/>
        <v>3540481.1436411329</v>
      </c>
      <c r="AF122" s="124"/>
      <c r="AG122" s="63">
        <f t="shared" ca="1" si="148"/>
        <v>0</v>
      </c>
      <c r="AH122" s="4">
        <f t="shared" si="149"/>
        <v>0</v>
      </c>
      <c r="AI122" s="63">
        <f t="shared" ref="AI122:AI128" ca="1" si="157">SUM(AG122:AH122)*((1+IF($C122&lt;=$F$8,$F$17,$G$17))^(1/4)-1)</f>
        <v>0</v>
      </c>
      <c r="AJ122" s="63">
        <f t="shared" ref="AJ122:AJ136" si="158">IF(AND(C122=$F$8,$F$29="yes"),(W68-W41)+Z122,0)</f>
        <v>0</v>
      </c>
      <c r="AK122" s="4">
        <f t="shared" ref="AK122:AK136" ca="1" si="159">K122+S122+AA122</f>
        <v>0</v>
      </c>
      <c r="AL122" s="4">
        <f t="shared" ref="AL122:AL136" ca="1" si="160">AB122</f>
        <v>0</v>
      </c>
      <c r="AM122" s="4">
        <f t="shared" ref="AM122:AM136" ca="1" si="161">-MIN(SUM(AG122:AK122),0)</f>
        <v>0</v>
      </c>
      <c r="AN122" s="4">
        <f ca="1">-SUM(AG122:AM122)*IFERROR(IF(C122&lt;$F$8,IF($F$23="yes",M41/SUM(M41:$M$56),L41/SUM(L41:$L$56)),IF($F$23="yes",M68/SUM(M68:$M$83),L68/SUM(L68:$L$83))),0)</f>
        <v>0</v>
      </c>
      <c r="AO122" s="4">
        <f t="shared" ca="1" si="150"/>
        <v>0</v>
      </c>
      <c r="AP122" s="124"/>
      <c r="AQ122" s="70"/>
      <c r="AR122" s="70"/>
      <c r="AS122" s="70"/>
      <c r="AT122" s="22"/>
      <c r="AU122" s="125"/>
      <c r="AV122" s="45"/>
      <c r="AX122" s="126"/>
      <c r="AZ122" s="4"/>
    </row>
    <row r="123" spans="1:52" s="2" customFormat="1" outlineLevel="1" x14ac:dyDescent="0.55000000000000004">
      <c r="A123" s="9"/>
      <c r="B123" s="1" t="s">
        <v>8</v>
      </c>
      <c r="C123" s="3">
        <v>3</v>
      </c>
      <c r="D123" s="13"/>
      <c r="E123" s="63">
        <f t="shared" ca="1" si="130"/>
        <v>-1057294.2700404641</v>
      </c>
      <c r="F123" s="63">
        <f t="shared" si="131"/>
        <v>0</v>
      </c>
      <c r="G123" s="63">
        <f t="shared" si="132"/>
        <v>1625588.2491037957</v>
      </c>
      <c r="H123" s="63">
        <f t="shared" ca="1" si="133"/>
        <v>2820.4041315550398</v>
      </c>
      <c r="I123" s="63">
        <f t="shared" si="134"/>
        <v>-359001.31283828453</v>
      </c>
      <c r="J123" s="63">
        <f t="shared" ca="1" si="135"/>
        <v>0</v>
      </c>
      <c r="K123" s="63">
        <f t="shared" si="136"/>
        <v>0</v>
      </c>
      <c r="L123" s="63">
        <f t="shared" si="137"/>
        <v>0</v>
      </c>
      <c r="M123" s="63">
        <f t="shared" ca="1" si="138"/>
        <v>212113.07035660208</v>
      </c>
      <c r="N123" s="124"/>
      <c r="O123" s="63">
        <f t="shared" si="139"/>
        <v>175523.16823864455</v>
      </c>
      <c r="P123" s="63">
        <f t="shared" si="140"/>
        <v>0</v>
      </c>
      <c r="Q123" s="4">
        <f t="shared" si="141"/>
        <v>871.10947348033517</v>
      </c>
      <c r="R123" s="4">
        <f t="shared" si="151"/>
        <v>-17950.065641914232</v>
      </c>
      <c r="S123" s="4">
        <f t="shared" si="142"/>
        <v>0</v>
      </c>
      <c r="T123" s="63">
        <f t="shared" si="143"/>
        <v>0</v>
      </c>
      <c r="U123" s="4">
        <f t="shared" si="144"/>
        <v>158444.21207021066</v>
      </c>
      <c r="V123" s="124"/>
      <c r="W123" s="63">
        <f t="shared" ca="1" si="145"/>
        <v>3540481.1436411329</v>
      </c>
      <c r="X123" s="4">
        <f t="shared" si="146"/>
        <v>0</v>
      </c>
      <c r="Y123" s="4">
        <f t="shared" ca="1" si="152"/>
        <v>17571.165652109354</v>
      </c>
      <c r="Z123" s="4">
        <f t="shared" ca="1" si="153"/>
        <v>0</v>
      </c>
      <c r="AA123" s="4">
        <f t="shared" ca="1" si="154"/>
        <v>0</v>
      </c>
      <c r="AB123" s="4">
        <f t="shared" ca="1" si="155"/>
        <v>0</v>
      </c>
      <c r="AC123" s="4">
        <f t="shared" ca="1" si="156"/>
        <v>0</v>
      </c>
      <c r="AD123" s="4">
        <f ca="1">-SUM(W123:AC123)*IFERROR(IF(C123&lt;$F$8,IF($F$23="yes",M42/SUM(M42:$M$56),L42/SUM(L42:$L$56)),IF($F$23="yes",M69/SUM(M69:$M$83),L69/SUM(L69:$L$83))),0)</f>
        <v>-366099.69967812957</v>
      </c>
      <c r="AE123" s="4">
        <f t="shared" ca="1" si="147"/>
        <v>3191952.6096151127</v>
      </c>
      <c r="AF123" s="124"/>
      <c r="AG123" s="63">
        <f t="shared" ca="1" si="148"/>
        <v>0</v>
      </c>
      <c r="AH123" s="4">
        <f t="shared" si="149"/>
        <v>0</v>
      </c>
      <c r="AI123" s="63">
        <f t="shared" ca="1" si="157"/>
        <v>0</v>
      </c>
      <c r="AJ123" s="63">
        <f t="shared" si="158"/>
        <v>0</v>
      </c>
      <c r="AK123" s="4">
        <f t="shared" ca="1" si="159"/>
        <v>0</v>
      </c>
      <c r="AL123" s="4">
        <f t="shared" ca="1" si="160"/>
        <v>0</v>
      </c>
      <c r="AM123" s="4">
        <f t="shared" ca="1" si="161"/>
        <v>0</v>
      </c>
      <c r="AN123" s="4">
        <f ca="1">-SUM(AG123:AM123)*IFERROR(IF(C123&lt;$F$8,IF($F$23="yes",M42/SUM(M42:$M$56),L42/SUM(L42:$L$56)),IF($F$23="yes",M69/SUM(M69:$M$83),L69/SUM(L69:$L$83))),0)</f>
        <v>0</v>
      </c>
      <c r="AO123" s="4">
        <f t="shared" ca="1" si="150"/>
        <v>0</v>
      </c>
      <c r="AP123" s="124"/>
      <c r="AQ123" s="70"/>
      <c r="AR123" s="70"/>
      <c r="AS123" s="70"/>
      <c r="AT123" s="22"/>
      <c r="AU123" s="125"/>
      <c r="AX123" s="126"/>
      <c r="AZ123" s="4"/>
    </row>
    <row r="124" spans="1:52" s="2" customFormat="1" outlineLevel="1" x14ac:dyDescent="0.55000000000000004">
      <c r="A124" s="9"/>
      <c r="B124" s="1" t="s">
        <v>9</v>
      </c>
      <c r="C124" s="3">
        <v>4</v>
      </c>
      <c r="D124" s="13"/>
      <c r="E124" s="63">
        <f t="shared" ca="1" si="130"/>
        <v>212113.07035660208</v>
      </c>
      <c r="F124" s="63">
        <f t="shared" si="131"/>
        <v>0</v>
      </c>
      <c r="G124" s="63">
        <f t="shared" si="132"/>
        <v>1576640.0392691609</v>
      </c>
      <c r="H124" s="63">
        <f t="shared" ca="1" si="133"/>
        <v>8877.4592844282161</v>
      </c>
      <c r="I124" s="63">
        <f t="shared" si="134"/>
        <v>-340200</v>
      </c>
      <c r="J124" s="63">
        <f t="shared" ca="1" si="135"/>
        <v>0</v>
      </c>
      <c r="K124" s="63">
        <f t="shared" si="136"/>
        <v>0</v>
      </c>
      <c r="L124" s="63">
        <f t="shared" si="137"/>
        <v>0</v>
      </c>
      <c r="M124" s="63">
        <f t="shared" ca="1" si="138"/>
        <v>1457430.5689101913</v>
      </c>
      <c r="N124" s="124"/>
      <c r="O124" s="63">
        <f t="shared" si="139"/>
        <v>158444.21207021066</v>
      </c>
      <c r="P124" s="63">
        <f t="shared" si="140"/>
        <v>0</v>
      </c>
      <c r="Q124" s="4">
        <f t="shared" si="141"/>
        <v>786.34778267465049</v>
      </c>
      <c r="R124" s="4">
        <f t="shared" si="151"/>
        <v>-17009.999999999971</v>
      </c>
      <c r="S124" s="4">
        <f t="shared" si="142"/>
        <v>0</v>
      </c>
      <c r="T124" s="63">
        <f t="shared" si="143"/>
        <v>0</v>
      </c>
      <c r="U124" s="4">
        <f t="shared" si="144"/>
        <v>142220.55985288534</v>
      </c>
      <c r="V124" s="124"/>
      <c r="W124" s="63">
        <f t="shared" ca="1" si="145"/>
        <v>3191952.6096151127</v>
      </c>
      <c r="X124" s="4">
        <f t="shared" si="146"/>
        <v>0</v>
      </c>
      <c r="Y124" s="4">
        <f t="shared" ca="1" si="152"/>
        <v>15841.442386429175</v>
      </c>
      <c r="Z124" s="4">
        <f t="shared" ca="1" si="153"/>
        <v>0</v>
      </c>
      <c r="AA124" s="4">
        <f t="shared" ca="1" si="154"/>
        <v>0</v>
      </c>
      <c r="AB124" s="4">
        <f t="shared" ca="1" si="155"/>
        <v>0</v>
      </c>
      <c r="AC124" s="4">
        <f t="shared" ca="1" si="156"/>
        <v>0</v>
      </c>
      <c r="AD124" s="4">
        <f ca="1">-SUM(W124:AC124)*IFERROR(IF(C124&lt;$F$8,IF($F$23="yes",M43/SUM(M43:$M$56),L43/SUM(L43:$L$56)),IF($F$23="yes",M70/SUM(M70:$M$83),L70/SUM(L70:$L$83))),0)</f>
        <v>-346235.71902917384</v>
      </c>
      <c r="AE124" s="4">
        <f t="shared" ca="1" si="147"/>
        <v>2861558.3329723682</v>
      </c>
      <c r="AF124" s="124"/>
      <c r="AG124" s="63">
        <f t="shared" ca="1" si="148"/>
        <v>0</v>
      </c>
      <c r="AH124" s="4">
        <f t="shared" si="149"/>
        <v>0</v>
      </c>
      <c r="AI124" s="63">
        <f t="shared" ca="1" si="157"/>
        <v>0</v>
      </c>
      <c r="AJ124" s="63">
        <f t="shared" si="158"/>
        <v>0</v>
      </c>
      <c r="AK124" s="4">
        <f t="shared" ca="1" si="159"/>
        <v>0</v>
      </c>
      <c r="AL124" s="4">
        <f t="shared" ca="1" si="160"/>
        <v>0</v>
      </c>
      <c r="AM124" s="4">
        <f t="shared" ca="1" si="161"/>
        <v>0</v>
      </c>
      <c r="AN124" s="4">
        <f ca="1">-SUM(AG124:AM124)*IFERROR(IF(C124&lt;$F$8,IF($F$23="yes",M43/SUM(M43:$M$56),L43/SUM(L43:$L$56)),IF($F$23="yes",M70/SUM(M70:$M$83),L70/SUM(L70:$L$83))),0)</f>
        <v>0</v>
      </c>
      <c r="AO124" s="4">
        <f t="shared" ca="1" si="150"/>
        <v>0</v>
      </c>
      <c r="AP124" s="124"/>
      <c r="AQ124" s="70"/>
      <c r="AR124" s="70"/>
      <c r="AS124" s="70"/>
      <c r="AT124" s="22"/>
      <c r="AU124" s="125"/>
      <c r="AX124" s="126"/>
      <c r="AZ124" s="4"/>
    </row>
    <row r="125" spans="1:52" s="55" customFormat="1" outlineLevel="1" x14ac:dyDescent="0.55000000000000004">
      <c r="A125" s="89"/>
      <c r="B125" s="1" t="s">
        <v>16</v>
      </c>
      <c r="C125" s="3">
        <v>5</v>
      </c>
      <c r="D125" s="119"/>
      <c r="E125" s="63">
        <f t="shared" ca="1" si="130"/>
        <v>1457430.5689101913</v>
      </c>
      <c r="F125" s="63">
        <f t="shared" si="131"/>
        <v>0</v>
      </c>
      <c r="G125" s="63">
        <f t="shared" si="132"/>
        <v>598862.14189269196</v>
      </c>
      <c r="H125" s="63">
        <f t="shared" ca="1" si="133"/>
        <v>10205.240018192504</v>
      </c>
      <c r="I125" s="63">
        <f t="shared" si="134"/>
        <v>-322383.65088515251</v>
      </c>
      <c r="J125" s="63">
        <f t="shared" ca="1" si="135"/>
        <v>0</v>
      </c>
      <c r="K125" s="63">
        <f t="shared" si="136"/>
        <v>0</v>
      </c>
      <c r="L125" s="63">
        <f t="shared" si="137"/>
        <v>0</v>
      </c>
      <c r="M125" s="63">
        <f t="shared" ca="1" si="138"/>
        <v>1744114.2999359234</v>
      </c>
      <c r="N125" s="124"/>
      <c r="O125" s="63">
        <f t="shared" si="139"/>
        <v>142220.55985288534</v>
      </c>
      <c r="P125" s="63">
        <f t="shared" si="140"/>
        <v>0</v>
      </c>
      <c r="Q125" s="51">
        <f t="shared" si="141"/>
        <v>705.83090685260856</v>
      </c>
      <c r="R125" s="51">
        <f t="shared" si="151"/>
        <v>-16119.182544257637</v>
      </c>
      <c r="S125" s="51">
        <f t="shared" si="142"/>
        <v>0</v>
      </c>
      <c r="T125" s="63">
        <f t="shared" si="143"/>
        <v>0</v>
      </c>
      <c r="U125" s="51">
        <f t="shared" si="144"/>
        <v>126807.20821548032</v>
      </c>
      <c r="V125" s="124"/>
      <c r="W125" s="63">
        <f t="shared" ca="1" si="145"/>
        <v>2861558.3329723682</v>
      </c>
      <c r="X125" s="51">
        <f t="shared" si="146"/>
        <v>0</v>
      </c>
      <c r="Y125" s="51">
        <f t="shared" ca="1" si="152"/>
        <v>14201.71819927306</v>
      </c>
      <c r="Z125" s="4">
        <f t="shared" ca="1" si="153"/>
        <v>0</v>
      </c>
      <c r="AA125" s="4">
        <f t="shared" ca="1" si="154"/>
        <v>0</v>
      </c>
      <c r="AB125" s="4">
        <f t="shared" ca="1" si="155"/>
        <v>0</v>
      </c>
      <c r="AC125" s="4">
        <f t="shared" ca="1" si="156"/>
        <v>0</v>
      </c>
      <c r="AD125" s="4">
        <f ca="1">-SUM(W125:AC125)*IFERROR(IF(C125&lt;$F$8,IF($F$23="yes",M44/SUM(M44:$M$56),L44/SUM(L44:$L$56)),IF($F$23="yes",M71/SUM(M71:$M$83),L71/SUM(L71:$L$83))),0)</f>
        <v>-327449.52600902237</v>
      </c>
      <c r="AE125" s="51">
        <f t="shared" ca="1" si="147"/>
        <v>2548310.5251626191</v>
      </c>
      <c r="AF125" s="124"/>
      <c r="AG125" s="63">
        <f t="shared" ca="1" si="148"/>
        <v>0</v>
      </c>
      <c r="AH125" s="51">
        <f t="shared" si="149"/>
        <v>0</v>
      </c>
      <c r="AI125" s="63">
        <f t="shared" ca="1" si="157"/>
        <v>0</v>
      </c>
      <c r="AJ125" s="63">
        <f t="shared" si="158"/>
        <v>0</v>
      </c>
      <c r="AK125" s="4">
        <f t="shared" ca="1" si="159"/>
        <v>0</v>
      </c>
      <c r="AL125" s="4">
        <f t="shared" ca="1" si="160"/>
        <v>0</v>
      </c>
      <c r="AM125" s="4">
        <f t="shared" ca="1" si="161"/>
        <v>0</v>
      </c>
      <c r="AN125" s="4">
        <f ca="1">-SUM(AG125:AM125)*IFERROR(IF(C125&lt;$F$8,IF($F$23="yes",M44/SUM(M44:$M$56),L44/SUM(L44:$L$56)),IF($F$23="yes",M71/SUM(M71:$M$83),L71/SUM(L71:$L$83))),0)</f>
        <v>0</v>
      </c>
      <c r="AO125" s="51">
        <f t="shared" ca="1" si="150"/>
        <v>0</v>
      </c>
      <c r="AP125" s="124"/>
      <c r="AQ125" s="70"/>
      <c r="AR125" s="70"/>
      <c r="AS125" s="70"/>
      <c r="AT125" s="22"/>
      <c r="AU125" s="125"/>
      <c r="AX125" s="126"/>
      <c r="AY125" s="2"/>
      <c r="AZ125" s="4"/>
    </row>
    <row r="126" spans="1:52" s="2" customFormat="1" outlineLevel="1" x14ac:dyDescent="0.55000000000000004">
      <c r="A126" s="9"/>
      <c r="B126" s="1" t="s">
        <v>17</v>
      </c>
      <c r="C126" s="3">
        <v>6</v>
      </c>
      <c r="D126" s="13"/>
      <c r="E126" s="63">
        <f t="shared" ca="1" si="130"/>
        <v>1744114.2999359234</v>
      </c>
      <c r="F126" s="63">
        <f t="shared" si="131"/>
        <v>0</v>
      </c>
      <c r="G126" s="63">
        <f t="shared" si="132"/>
        <v>353341.95904584404</v>
      </c>
      <c r="H126" s="63">
        <f t="shared" ca="1" si="133"/>
        <v>10409.531891114586</v>
      </c>
      <c r="I126" s="63">
        <f t="shared" si="134"/>
        <v>-305500.6481241904</v>
      </c>
      <c r="J126" s="63">
        <f t="shared" ca="1" si="135"/>
        <v>0</v>
      </c>
      <c r="K126" s="63">
        <f t="shared" si="136"/>
        <v>0</v>
      </c>
      <c r="L126" s="63">
        <f t="shared" si="137"/>
        <v>0</v>
      </c>
      <c r="M126" s="63">
        <f t="shared" ca="1" si="138"/>
        <v>1802365.1427486916</v>
      </c>
      <c r="N126" s="124"/>
      <c r="O126" s="63">
        <f t="shared" si="139"/>
        <v>126807.20821548032</v>
      </c>
      <c r="P126" s="63">
        <f t="shared" si="140"/>
        <v>0</v>
      </c>
      <c r="Q126" s="4">
        <f t="shared" si="141"/>
        <v>629.33549736243833</v>
      </c>
      <c r="R126" s="4">
        <f>U126-SUM(S126:T126,O126:Q126)</f>
        <v>-15275.032406209531</v>
      </c>
      <c r="S126" s="4">
        <f t="shared" si="142"/>
        <v>0</v>
      </c>
      <c r="T126" s="63">
        <f t="shared" si="143"/>
        <v>0</v>
      </c>
      <c r="U126" s="4">
        <f t="shared" si="144"/>
        <v>112161.51130663323</v>
      </c>
      <c r="V126" s="124"/>
      <c r="W126" s="63">
        <f t="shared" ca="1" si="145"/>
        <v>2548310.5251626191</v>
      </c>
      <c r="X126" s="4">
        <f t="shared" si="146"/>
        <v>0</v>
      </c>
      <c r="Y126" s="4">
        <f t="shared" ca="1" si="152"/>
        <v>12647.090763657174</v>
      </c>
      <c r="Z126" s="4">
        <f t="shared" ca="1" si="153"/>
        <v>0</v>
      </c>
      <c r="AA126" s="4">
        <f t="shared" ca="1" si="154"/>
        <v>0</v>
      </c>
      <c r="AB126" s="4">
        <f t="shared" ca="1" si="155"/>
        <v>0</v>
      </c>
      <c r="AC126" s="4">
        <f t="shared" ca="1" si="156"/>
        <v>0</v>
      </c>
      <c r="AD126" s="4">
        <f ca="1">-SUM(W126:AC126)*IFERROR(IF(C126&lt;$F$8,IF($F$23="yes",M45/SUM(M45:$M$56),L45/SUM(L45:$L$56)),IF($F$23="yes",M72/SUM(M72:$M$83),L72/SUM(L72:$L$83))),0)</f>
        <v>-309682.64159510017</v>
      </c>
      <c r="AE126" s="4">
        <f t="shared" ca="1" si="147"/>
        <v>2251274.9743311764</v>
      </c>
      <c r="AF126" s="124"/>
      <c r="AG126" s="63">
        <f t="shared" ca="1" si="148"/>
        <v>0</v>
      </c>
      <c r="AH126" s="4">
        <f t="shared" si="149"/>
        <v>0</v>
      </c>
      <c r="AI126" s="63">
        <f t="shared" ca="1" si="157"/>
        <v>0</v>
      </c>
      <c r="AJ126" s="63">
        <f t="shared" si="158"/>
        <v>0</v>
      </c>
      <c r="AK126" s="4">
        <f t="shared" ca="1" si="159"/>
        <v>0</v>
      </c>
      <c r="AL126" s="4">
        <f t="shared" ca="1" si="160"/>
        <v>0</v>
      </c>
      <c r="AM126" s="4">
        <f t="shared" ca="1" si="161"/>
        <v>0</v>
      </c>
      <c r="AN126" s="4">
        <f ca="1">-SUM(AG126:AM126)*IFERROR(IF(C126&lt;$F$8,IF($F$23="yes",M45/SUM(M45:$M$56),L45/SUM(L45:$L$56)),IF($F$23="yes",M72/SUM(M72:$M$83),L72/SUM(L72:$L$83))),0)</f>
        <v>0</v>
      </c>
      <c r="AO126" s="4">
        <f t="shared" ca="1" si="150"/>
        <v>0</v>
      </c>
      <c r="AP126" s="124"/>
      <c r="AQ126" s="70"/>
      <c r="AR126" s="70"/>
      <c r="AS126" s="70"/>
      <c r="AT126" s="22"/>
      <c r="AU126" s="125"/>
      <c r="AX126" s="126"/>
      <c r="AZ126" s="4"/>
    </row>
    <row r="127" spans="1:52" s="2" customFormat="1" outlineLevel="1" x14ac:dyDescent="0.55000000000000004">
      <c r="A127" s="9"/>
      <c r="B127" s="1" t="s">
        <v>18</v>
      </c>
      <c r="C127" s="3">
        <v>7</v>
      </c>
      <c r="D127" s="13"/>
      <c r="E127" s="63">
        <f t="shared" ca="1" si="130"/>
        <v>1802365.1427486916</v>
      </c>
      <c r="F127" s="63">
        <f t="shared" si="131"/>
        <v>0</v>
      </c>
      <c r="G127" s="63">
        <f t="shared" si="132"/>
        <v>179227.48960220299</v>
      </c>
      <c r="H127" s="63">
        <f t="shared" ca="1" si="133"/>
        <v>9834.5086403223268</v>
      </c>
      <c r="I127" s="63">
        <f t="shared" si="134"/>
        <v>-289502.0802910761</v>
      </c>
      <c r="J127" s="63">
        <f t="shared" ca="1" si="135"/>
        <v>0</v>
      </c>
      <c r="K127" s="63">
        <f t="shared" ca="1" si="136"/>
        <v>169211.61874003406</v>
      </c>
      <c r="L127" s="63">
        <f t="shared" ca="1" si="137"/>
        <v>25117.391143906629</v>
      </c>
      <c r="M127" s="63">
        <f t="shared" ca="1" si="138"/>
        <v>1896254.0705840816</v>
      </c>
      <c r="N127" s="124"/>
      <c r="O127" s="63">
        <f t="shared" si="139"/>
        <v>112161.51130663323</v>
      </c>
      <c r="P127" s="63">
        <f t="shared" si="140"/>
        <v>0</v>
      </c>
      <c r="Q127" s="4">
        <f t="shared" si="141"/>
        <v>556.64990576194748</v>
      </c>
      <c r="R127" s="4">
        <f t="shared" si="151"/>
        <v>-14475.104014553814</v>
      </c>
      <c r="S127" s="4">
        <f t="shared" si="142"/>
        <v>-32011.769463811375</v>
      </c>
      <c r="T127" s="63">
        <f t="shared" si="143"/>
        <v>788.80271499713126</v>
      </c>
      <c r="U127" s="4">
        <f t="shared" si="144"/>
        <v>67020.09044902712</v>
      </c>
      <c r="V127" s="124"/>
      <c r="W127" s="63">
        <f t="shared" ca="1" si="145"/>
        <v>2251274.9743311764</v>
      </c>
      <c r="X127" s="4">
        <f t="shared" si="146"/>
        <v>0</v>
      </c>
      <c r="Y127" s="4">
        <f t="shared" ca="1" si="152"/>
        <v>11172.923650071818</v>
      </c>
      <c r="Z127" s="4">
        <f t="shared" ca="1" si="153"/>
        <v>21225.758982388783</v>
      </c>
      <c r="AA127" s="4">
        <f t="shared" ca="1" si="154"/>
        <v>-137199.8492762227</v>
      </c>
      <c r="AB127" s="4">
        <f t="shared" ca="1" si="155"/>
        <v>0</v>
      </c>
      <c r="AC127" s="4">
        <f t="shared" ca="1" si="156"/>
        <v>0</v>
      </c>
      <c r="AD127" s="4">
        <f ca="1">-SUM(W127:AC127)*IFERROR(IF(C127&lt;$F$8,IF($F$23="yes",M46/SUM(M46:$M$56),L46/SUM(L46:$L$56)),IF($F$23="yes",M73/SUM(M73:$M$83),L73/SUM(L73:$L$83))),0)</f>
        <v>-228062.33383166578</v>
      </c>
      <c r="AE127" s="4">
        <f t="shared" ca="1" si="147"/>
        <v>1918411.4738557485</v>
      </c>
      <c r="AF127" s="124"/>
      <c r="AG127" s="63">
        <f t="shared" ca="1" si="148"/>
        <v>0</v>
      </c>
      <c r="AH127" s="4">
        <f t="shared" si="149"/>
        <v>0</v>
      </c>
      <c r="AI127" s="63">
        <f t="shared" ca="1" si="157"/>
        <v>0</v>
      </c>
      <c r="AJ127" s="63">
        <f t="shared" ca="1" si="158"/>
        <v>0</v>
      </c>
      <c r="AK127" s="4">
        <f t="shared" ca="1" si="159"/>
        <v>0</v>
      </c>
      <c r="AL127" s="4">
        <f t="shared" ca="1" si="160"/>
        <v>0</v>
      </c>
      <c r="AM127" s="4">
        <f t="shared" ca="1" si="161"/>
        <v>0</v>
      </c>
      <c r="AN127" s="4">
        <f ca="1">-SUM(AG127:AM127)*IFERROR(IF(C127&lt;$F$8,IF($F$23="yes",M46/SUM(M46:$M$56),L46/SUM(L46:$L$56)),IF($F$23="yes",M73/SUM(M73:$M$83),L73/SUM(L73:$L$83))),0)</f>
        <v>0</v>
      </c>
      <c r="AO127" s="4">
        <f t="shared" ca="1" si="150"/>
        <v>0</v>
      </c>
      <c r="AP127" s="124"/>
      <c r="AQ127" s="70"/>
      <c r="AR127" s="70"/>
      <c r="AS127" s="70"/>
      <c r="AT127" s="22"/>
      <c r="AU127" s="125"/>
      <c r="AX127" s="126"/>
      <c r="AZ127" s="4"/>
    </row>
    <row r="128" spans="1:52" s="2" customFormat="1" outlineLevel="1" x14ac:dyDescent="0.55000000000000004">
      <c r="A128" s="9"/>
      <c r="B128" s="1" t="s">
        <v>19</v>
      </c>
      <c r="C128" s="3">
        <v>8</v>
      </c>
      <c r="D128" s="13"/>
      <c r="E128" s="63">
        <f t="shared" ca="1" si="130"/>
        <v>1896254.0705840816</v>
      </c>
      <c r="F128" s="63">
        <f t="shared" si="131"/>
        <v>0</v>
      </c>
      <c r="G128" s="63">
        <f t="shared" si="132"/>
        <v>113954.73182080506</v>
      </c>
      <c r="H128" s="63">
        <f t="shared" ca="1" si="133"/>
        <v>5006.7854816160834</v>
      </c>
      <c r="I128" s="63">
        <f t="shared" si="134"/>
        <v>-277378.09100580279</v>
      </c>
      <c r="J128" s="63">
        <f t="shared" ca="1" si="135"/>
        <v>0</v>
      </c>
      <c r="K128" s="63">
        <f t="shared" si="136"/>
        <v>0</v>
      </c>
      <c r="L128" s="63">
        <f t="shared" si="137"/>
        <v>0</v>
      </c>
      <c r="M128" s="63">
        <f t="shared" ca="1" si="138"/>
        <v>1737837.4968806999</v>
      </c>
      <c r="N128" s="124"/>
      <c r="O128" s="63">
        <f t="shared" si="139"/>
        <v>67020.09044902712</v>
      </c>
      <c r="P128" s="63">
        <f t="shared" si="140"/>
        <v>0</v>
      </c>
      <c r="Q128" s="4">
        <f t="shared" si="141"/>
        <v>166.92555292532234</v>
      </c>
      <c r="R128" s="4">
        <f t="shared" si="151"/>
        <v>-8321.3427301740885</v>
      </c>
      <c r="S128" s="4">
        <f t="shared" si="142"/>
        <v>0</v>
      </c>
      <c r="T128" s="63">
        <f t="shared" si="143"/>
        <v>0</v>
      </c>
      <c r="U128" s="4">
        <f t="shared" si="144"/>
        <v>58865.67327177836</v>
      </c>
      <c r="V128" s="124"/>
      <c r="W128" s="63">
        <f t="shared" ca="1" si="145"/>
        <v>1918411.4738557485</v>
      </c>
      <c r="X128" s="4">
        <f t="shared" si="146"/>
        <v>0</v>
      </c>
      <c r="Y128" s="4">
        <f t="shared" ca="1" si="152"/>
        <v>9520.9448739951713</v>
      </c>
      <c r="Z128" s="4">
        <f t="shared" ca="1" si="153"/>
        <v>0</v>
      </c>
      <c r="AA128" s="4">
        <f t="shared" ca="1" si="154"/>
        <v>0</v>
      </c>
      <c r="AB128" s="4">
        <f t="shared" ca="1" si="155"/>
        <v>0</v>
      </c>
      <c r="AC128" s="4">
        <f t="shared" ca="1" si="156"/>
        <v>0</v>
      </c>
      <c r="AD128" s="4">
        <f ca="1">-SUM(W128:AC128)*IFERROR(IF(C128&lt;$F$8,IF($F$23="yes",M47/SUM(M47:$M$56),L47/SUM(L47:$L$56)),IF($F$23="yes",M74/SUM(M74:$M$83),L74/SUM(L74:$L$83))),0)</f>
        <v>-241986.14141007644</v>
      </c>
      <c r="AE128" s="4">
        <f t="shared" ca="1" si="147"/>
        <v>1685946.2773196672</v>
      </c>
      <c r="AF128" s="124"/>
      <c r="AG128" s="63">
        <f t="shared" ca="1" si="148"/>
        <v>0</v>
      </c>
      <c r="AH128" s="4">
        <f t="shared" si="149"/>
        <v>0</v>
      </c>
      <c r="AI128" s="63">
        <f t="shared" ca="1" si="157"/>
        <v>0</v>
      </c>
      <c r="AJ128" s="63">
        <f t="shared" si="158"/>
        <v>0</v>
      </c>
      <c r="AK128" s="4">
        <f t="shared" ca="1" si="159"/>
        <v>0</v>
      </c>
      <c r="AL128" s="4">
        <f t="shared" ca="1" si="160"/>
        <v>0</v>
      </c>
      <c r="AM128" s="4">
        <f t="shared" ca="1" si="161"/>
        <v>0</v>
      </c>
      <c r="AN128" s="4">
        <f ca="1">-SUM(AG128:AM128)*IFERROR(IF(C128&lt;$F$8,IF($F$23="yes",M47/SUM(M47:$M$56),L47/SUM(L47:$L$56)),IF($F$23="yes",M74/SUM(M74:$M$83),L74/SUM(L74:$L$83))),0)</f>
        <v>0</v>
      </c>
      <c r="AO128" s="4">
        <f t="shared" ca="1" si="150"/>
        <v>0</v>
      </c>
      <c r="AP128" s="124"/>
      <c r="AQ128" s="70"/>
      <c r="AR128" s="70"/>
      <c r="AS128" s="70"/>
      <c r="AT128" s="22"/>
      <c r="AU128" s="125"/>
      <c r="AX128" s="126"/>
      <c r="AZ128" s="4"/>
    </row>
    <row r="129" spans="1:52" s="2" customFormat="1" outlineLevel="1" x14ac:dyDescent="0.55000000000000004">
      <c r="A129" s="9"/>
      <c r="B129" s="1" t="s">
        <v>20</v>
      </c>
      <c r="C129" s="3">
        <v>9</v>
      </c>
      <c r="D129" s="13"/>
      <c r="E129" s="63">
        <f t="shared" ref="E129:E136" ca="1" si="162">IF(C129=1,0,M128)</f>
        <v>1737837.4968806999</v>
      </c>
      <c r="F129" s="63">
        <f t="shared" si="131"/>
        <v>0</v>
      </c>
      <c r="G129" s="63">
        <f t="shared" si="132"/>
        <v>101100.35781684837</v>
      </c>
      <c r="H129" s="63">
        <f t="shared" ref="H129:H136" ca="1" si="163">SUM(E129:G129)*((1+IF($C129&lt;=$F$8,$F$17,$G$17))^(1/4)-1)</f>
        <v>4580.2044750172417</v>
      </c>
      <c r="I129" s="63">
        <f t="shared" si="134"/>
        <v>-270449.00872822909</v>
      </c>
      <c r="J129" s="63">
        <f t="shared" ca="1" si="135"/>
        <v>0</v>
      </c>
      <c r="K129" s="63">
        <f t="shared" si="136"/>
        <v>0</v>
      </c>
      <c r="L129" s="63">
        <f t="shared" si="137"/>
        <v>0</v>
      </c>
      <c r="M129" s="63">
        <f t="shared" ref="M129:M136" ca="1" si="164">SUM(E129:L129)</f>
        <v>1573069.0504443366</v>
      </c>
      <c r="N129" s="124"/>
      <c r="O129" s="63">
        <f t="shared" ref="O129:O136" si="165">IF(C129=1,0,U128)</f>
        <v>58865.67327177836</v>
      </c>
      <c r="P129" s="63">
        <f t="shared" si="140"/>
        <v>0</v>
      </c>
      <c r="Q129" s="4">
        <f t="shared" ref="Q129:Q136" si="166">SUM(O129:P129)*((1+IF($C129&lt;=$F$8,$F$17,$G$17))^(1/4)-1)</f>
        <v>146.61551474160402</v>
      </c>
      <c r="R129" s="4">
        <f t="shared" si="151"/>
        <v>-8113.4702618468655</v>
      </c>
      <c r="S129" s="4">
        <f t="shared" si="142"/>
        <v>0</v>
      </c>
      <c r="T129" s="63">
        <f t="shared" si="143"/>
        <v>0</v>
      </c>
      <c r="U129" s="4">
        <f t="shared" si="144"/>
        <v>50898.818524673101</v>
      </c>
      <c r="V129" s="124"/>
      <c r="W129" s="63">
        <f t="shared" ca="1" si="145"/>
        <v>1685946.2773196672</v>
      </c>
      <c r="X129" s="4">
        <f t="shared" ref="X129:X132" si="167">IF($C129=1,MAX(-F129-P129,0),0)</f>
        <v>0</v>
      </c>
      <c r="Y129" s="4">
        <f t="shared" ref="Y129:Y132" ca="1" si="168">SUM(W129:X129)*((1+$F$17)^(1/4)-1)</f>
        <v>8367.2360104352229</v>
      </c>
      <c r="Z129" s="4">
        <f t="shared" ca="1" si="153"/>
        <v>0</v>
      </c>
      <c r="AA129" s="4">
        <f t="shared" ca="1" si="154"/>
        <v>0</v>
      </c>
      <c r="AB129" s="4">
        <f t="shared" ca="1" si="155"/>
        <v>0</v>
      </c>
      <c r="AC129" s="4">
        <f t="shared" ca="1" si="156"/>
        <v>0</v>
      </c>
      <c r="AD129" s="4">
        <f ca="1">-SUM(W129:AC129)*IFERROR(IF(C129&lt;$F$8,IF($F$23="yes",M48/SUM(M48:$M$56),L48/SUM(L48:$L$56)),IF($F$23="yes",M75/SUM(M75:$M$83),L75/SUM(L75:$L$83))),0)</f>
        <v>-235695.40831641617</v>
      </c>
      <c r="AE129" s="4">
        <f t="shared" ca="1" si="147"/>
        <v>1458618.1050136862</v>
      </c>
      <c r="AF129" s="124"/>
      <c r="AG129" s="63">
        <f t="shared" ca="1" si="148"/>
        <v>0</v>
      </c>
      <c r="AH129" s="4">
        <f t="shared" si="149"/>
        <v>0</v>
      </c>
      <c r="AI129" s="63">
        <f t="shared" ref="AI129:AI136" ca="1" si="169">SUM(AG129:AH129)*((1+IF($C129&lt;=$F$8,$F$17,$G$17))^(1/4)-1)</f>
        <v>0</v>
      </c>
      <c r="AJ129" s="63">
        <f t="shared" si="158"/>
        <v>0</v>
      </c>
      <c r="AK129" s="4">
        <f t="shared" ca="1" si="159"/>
        <v>0</v>
      </c>
      <c r="AL129" s="4">
        <f t="shared" ca="1" si="160"/>
        <v>0</v>
      </c>
      <c r="AM129" s="4">
        <f t="shared" ca="1" si="161"/>
        <v>0</v>
      </c>
      <c r="AN129" s="4">
        <f ca="1">-SUM(AG129:AM129)*IFERROR(IF(C129&lt;$F$8,IF($F$23="yes",M48/SUM(M48:$M$56),L48/SUM(L48:$L$56)),IF($F$23="yes",M75/SUM(M75:$M$83),L75/SUM(L75:$L$83))),0)</f>
        <v>0</v>
      </c>
      <c r="AO129" s="4">
        <f t="shared" ca="1" si="150"/>
        <v>0</v>
      </c>
      <c r="AP129" s="124"/>
      <c r="AQ129" s="70"/>
      <c r="AR129" s="70"/>
      <c r="AS129" s="70"/>
      <c r="AT129" s="22"/>
      <c r="AU129" s="125"/>
      <c r="AX129" s="126"/>
      <c r="AZ129" s="4"/>
    </row>
    <row r="130" spans="1:52" s="2" customFormat="1" outlineLevel="1" x14ac:dyDescent="0.55000000000000004">
      <c r="A130" s="9"/>
      <c r="B130" s="1" t="s">
        <v>21</v>
      </c>
      <c r="C130" s="3">
        <v>10</v>
      </c>
      <c r="D130" s="13"/>
      <c r="E130" s="63">
        <f t="shared" ca="1" si="162"/>
        <v>1573069.0504443366</v>
      </c>
      <c r="F130" s="63">
        <f t="shared" si="131"/>
        <v>0</v>
      </c>
      <c r="G130" s="63">
        <f t="shared" si="132"/>
        <v>36077.504230091625</v>
      </c>
      <c r="H130" s="63">
        <f t="shared" ca="1" si="163"/>
        <v>4007.8680374386981</v>
      </c>
      <c r="I130" s="63">
        <f t="shared" si="134"/>
        <v>-263693.07559496339</v>
      </c>
      <c r="J130" s="63">
        <f t="shared" ca="1" si="135"/>
        <v>0</v>
      </c>
      <c r="K130" s="63">
        <f t="shared" si="136"/>
        <v>0</v>
      </c>
      <c r="L130" s="63">
        <f t="shared" si="137"/>
        <v>0</v>
      </c>
      <c r="M130" s="63">
        <f t="shared" ca="1" si="164"/>
        <v>1349461.3471169034</v>
      </c>
      <c r="N130" s="124"/>
      <c r="O130" s="63">
        <f t="shared" si="165"/>
        <v>50898.818524673101</v>
      </c>
      <c r="P130" s="63">
        <f t="shared" si="140"/>
        <v>0</v>
      </c>
      <c r="Q130" s="4">
        <f t="shared" si="166"/>
        <v>126.77263442278793</v>
      </c>
      <c r="R130" s="4">
        <f t="shared" ref="R130:R136" si="170">U130-SUM(S130:T130,O130:Q130)</f>
        <v>-7910.7922678488976</v>
      </c>
      <c r="S130" s="4">
        <f t="shared" si="142"/>
        <v>0</v>
      </c>
      <c r="T130" s="63">
        <f t="shared" si="143"/>
        <v>0</v>
      </c>
      <c r="U130" s="4">
        <f t="shared" si="144"/>
        <v>43114.798891246988</v>
      </c>
      <c r="V130" s="124"/>
      <c r="W130" s="63">
        <f t="shared" ca="1" si="145"/>
        <v>1458618.1050136862</v>
      </c>
      <c r="X130" s="4">
        <f t="shared" si="167"/>
        <v>0</v>
      </c>
      <c r="Y130" s="4">
        <f t="shared" ca="1" si="168"/>
        <v>7239.0218466191509</v>
      </c>
      <c r="Z130" s="4">
        <f t="shared" ca="1" si="153"/>
        <v>0</v>
      </c>
      <c r="AA130" s="4">
        <f t="shared" ca="1" si="154"/>
        <v>0</v>
      </c>
      <c r="AB130" s="4">
        <f t="shared" ca="1" si="155"/>
        <v>0</v>
      </c>
      <c r="AC130" s="4">
        <f t="shared" ca="1" si="156"/>
        <v>0</v>
      </c>
      <c r="AD130" s="4">
        <f ca="1">-SUM(W130:AC130)*IFERROR(IF(C130&lt;$F$8,IF($F$23="yes",M49/SUM(M49:$M$56),L49/SUM(L49:$L$56)),IF($F$23="yes",M76/SUM(M76:$M$83),L76/SUM(L76:$L$83))),0)</f>
        <v>-229568.21071542936</v>
      </c>
      <c r="AE130" s="4">
        <f t="shared" ca="1" si="147"/>
        <v>1236288.916144876</v>
      </c>
      <c r="AF130" s="124"/>
      <c r="AG130" s="63">
        <f t="shared" ca="1" si="148"/>
        <v>0</v>
      </c>
      <c r="AH130" s="4">
        <f t="shared" si="149"/>
        <v>0</v>
      </c>
      <c r="AI130" s="63">
        <f t="shared" ca="1" si="169"/>
        <v>0</v>
      </c>
      <c r="AJ130" s="63">
        <f t="shared" si="158"/>
        <v>0</v>
      </c>
      <c r="AK130" s="4">
        <f t="shared" ca="1" si="159"/>
        <v>0</v>
      </c>
      <c r="AL130" s="4">
        <f t="shared" ca="1" si="160"/>
        <v>0</v>
      </c>
      <c r="AM130" s="4">
        <f t="shared" ca="1" si="161"/>
        <v>0</v>
      </c>
      <c r="AN130" s="4">
        <f ca="1">-SUM(AG130:AM130)*IFERROR(IF(C130&lt;$F$8,IF($F$23="yes",M49/SUM(M49:$M$56),L49/SUM(L49:$L$56)),IF($F$23="yes",M76/SUM(M76:$M$83),L76/SUM(L76:$L$83))),0)</f>
        <v>0</v>
      </c>
      <c r="AO130" s="4">
        <f t="shared" ca="1" si="150"/>
        <v>0</v>
      </c>
      <c r="AP130" s="124"/>
      <c r="AQ130" s="70"/>
      <c r="AR130" s="70"/>
      <c r="AS130" s="70"/>
      <c r="AT130" s="22"/>
      <c r="AU130" s="125"/>
      <c r="AX130" s="126"/>
      <c r="AZ130" s="4"/>
    </row>
    <row r="131" spans="1:52" s="2" customFormat="1" outlineLevel="1" x14ac:dyDescent="0.55000000000000004">
      <c r="A131" s="9"/>
      <c r="B131" s="1" t="s">
        <v>22</v>
      </c>
      <c r="C131" s="3">
        <v>11</v>
      </c>
      <c r="D131" s="13"/>
      <c r="E131" s="63">
        <f t="shared" ca="1" si="162"/>
        <v>1349461.3471169034</v>
      </c>
      <c r="F131" s="63">
        <f t="shared" si="131"/>
        <v>0</v>
      </c>
      <c r="G131" s="63">
        <f t="shared" si="132"/>
        <v>42027.28098525347</v>
      </c>
      <c r="H131" s="63">
        <f t="shared" ca="1" si="163"/>
        <v>3465.7519421271163</v>
      </c>
      <c r="I131" s="63">
        <f t="shared" si="134"/>
        <v>-257105.96337416288</v>
      </c>
      <c r="J131" s="63">
        <f t="shared" ca="1" si="135"/>
        <v>0</v>
      </c>
      <c r="K131" s="63">
        <f t="shared" si="136"/>
        <v>0</v>
      </c>
      <c r="L131" s="63">
        <f t="shared" si="137"/>
        <v>0</v>
      </c>
      <c r="M131" s="63">
        <f t="shared" ca="1" si="164"/>
        <v>1137848.416670121</v>
      </c>
      <c r="N131" s="124"/>
      <c r="O131" s="63">
        <f t="shared" si="165"/>
        <v>43114.798891246988</v>
      </c>
      <c r="P131" s="63">
        <f t="shared" si="140"/>
        <v>0</v>
      </c>
      <c r="Q131" s="4">
        <f t="shared" si="166"/>
        <v>107.38513773954405</v>
      </c>
      <c r="R131" s="4">
        <f t="shared" si="170"/>
        <v>-7713.1789012248846</v>
      </c>
      <c r="S131" s="4">
        <f t="shared" si="142"/>
        <v>0</v>
      </c>
      <c r="T131" s="63">
        <f t="shared" si="143"/>
        <v>0</v>
      </c>
      <c r="U131" s="4">
        <f t="shared" si="144"/>
        <v>35509.005127761651</v>
      </c>
      <c r="V131" s="124"/>
      <c r="W131" s="63">
        <f t="shared" ca="1" si="145"/>
        <v>1236288.916144876</v>
      </c>
      <c r="X131" s="4">
        <f t="shared" si="167"/>
        <v>0</v>
      </c>
      <c r="Y131" s="4">
        <f t="shared" ca="1" si="168"/>
        <v>6135.6172955373368</v>
      </c>
      <c r="Z131" s="4">
        <f t="shared" ca="1" si="153"/>
        <v>0</v>
      </c>
      <c r="AA131" s="4">
        <f t="shared" ca="1" si="154"/>
        <v>0</v>
      </c>
      <c r="AB131" s="4">
        <f t="shared" ca="1" si="155"/>
        <v>0</v>
      </c>
      <c r="AC131" s="4">
        <f t="shared" ca="1" si="156"/>
        <v>0</v>
      </c>
      <c r="AD131" s="4">
        <f ca="1">-SUM(W131:AC131)*IFERROR(IF(C131&lt;$F$8,IF($F$23="yes",M50/SUM(M50:$M$56),L50/SUM(L50:$L$56)),IF($F$23="yes",M77/SUM(M77:$M$83),L77/SUM(L77:$L$83))),0)</f>
        <v>-223600.2972969801</v>
      </c>
      <c r="AE131" s="4">
        <f t="shared" ca="1" si="147"/>
        <v>1018824.2361434333</v>
      </c>
      <c r="AF131" s="124"/>
      <c r="AG131" s="63">
        <f t="shared" ca="1" si="148"/>
        <v>0</v>
      </c>
      <c r="AH131" s="4">
        <f t="shared" si="149"/>
        <v>0</v>
      </c>
      <c r="AI131" s="63">
        <f t="shared" ca="1" si="169"/>
        <v>0</v>
      </c>
      <c r="AJ131" s="63">
        <f t="shared" si="158"/>
        <v>0</v>
      </c>
      <c r="AK131" s="4">
        <f t="shared" ca="1" si="159"/>
        <v>0</v>
      </c>
      <c r="AL131" s="4">
        <f t="shared" ca="1" si="160"/>
        <v>0</v>
      </c>
      <c r="AM131" s="4">
        <f t="shared" ca="1" si="161"/>
        <v>0</v>
      </c>
      <c r="AN131" s="4">
        <f ca="1">-SUM(AG131:AM131)*IFERROR(IF(C131&lt;$F$8,IF($F$23="yes",M50/SUM(M50:$M$56),L50/SUM(L50:$L$56)),IF($F$23="yes",M77/SUM(M77:$M$83),L77/SUM(L77:$L$83))),0)</f>
        <v>0</v>
      </c>
      <c r="AO131" s="4">
        <f t="shared" ca="1" si="150"/>
        <v>0</v>
      </c>
      <c r="AP131" s="124"/>
      <c r="AQ131" s="70"/>
      <c r="AR131" s="70"/>
      <c r="AS131" s="70"/>
      <c r="AT131" s="22"/>
      <c r="AU131" s="125"/>
      <c r="AX131" s="126"/>
      <c r="AZ131" s="4"/>
    </row>
    <row r="132" spans="1:52" s="2" customFormat="1" outlineLevel="1" x14ac:dyDescent="0.55000000000000004">
      <c r="A132" s="9"/>
      <c r="B132" s="1" t="s">
        <v>23</v>
      </c>
      <c r="C132" s="3">
        <v>12</v>
      </c>
      <c r="D132" s="13"/>
      <c r="E132" s="63">
        <f t="shared" ca="1" si="162"/>
        <v>1137848.416670121</v>
      </c>
      <c r="F132" s="63">
        <f t="shared" si="131"/>
        <v>0</v>
      </c>
      <c r="G132" s="63">
        <f t="shared" si="132"/>
        <v>45785.087588599774</v>
      </c>
      <c r="H132" s="63">
        <f t="shared" ca="1" si="163"/>
        <v>2948.051484794616</v>
      </c>
      <c r="I132" s="63">
        <f t="shared" si="134"/>
        <v>-250683.45206474859</v>
      </c>
      <c r="J132" s="63">
        <f t="shared" ca="1" si="135"/>
        <v>0</v>
      </c>
      <c r="K132" s="63">
        <f t="shared" si="136"/>
        <v>0</v>
      </c>
      <c r="L132" s="63">
        <f t="shared" si="137"/>
        <v>0</v>
      </c>
      <c r="M132" s="63">
        <f t="shared" ca="1" si="164"/>
        <v>935898.10367876687</v>
      </c>
      <c r="N132" s="124"/>
      <c r="O132" s="63">
        <f t="shared" si="165"/>
        <v>35509.005127761651</v>
      </c>
      <c r="P132" s="63">
        <f t="shared" si="140"/>
        <v>0</v>
      </c>
      <c r="Q132" s="4">
        <f t="shared" si="166"/>
        <v>88.441544543838532</v>
      </c>
      <c r="R132" s="4">
        <f t="shared" si="170"/>
        <v>-7520.5035619424598</v>
      </c>
      <c r="S132" s="4">
        <f t="shared" si="142"/>
        <v>0</v>
      </c>
      <c r="T132" s="63">
        <f t="shared" si="143"/>
        <v>0</v>
      </c>
      <c r="U132" s="4">
        <f t="shared" si="144"/>
        <v>28076.943110363027</v>
      </c>
      <c r="V132" s="124"/>
      <c r="W132" s="63">
        <f t="shared" ca="1" si="145"/>
        <v>1018824.2361434333</v>
      </c>
      <c r="X132" s="4">
        <f t="shared" si="167"/>
        <v>0</v>
      </c>
      <c r="Y132" s="4">
        <f t="shared" ca="1" si="168"/>
        <v>5056.3549691015105</v>
      </c>
      <c r="Z132" s="4">
        <f t="shared" ca="1" si="153"/>
        <v>0</v>
      </c>
      <c r="AA132" s="4">
        <f t="shared" ca="1" si="154"/>
        <v>0</v>
      </c>
      <c r="AB132" s="4">
        <f t="shared" ca="1" si="155"/>
        <v>0</v>
      </c>
      <c r="AC132" s="4">
        <f t="shared" ca="1" si="156"/>
        <v>0</v>
      </c>
      <c r="AD132" s="4">
        <f ca="1">-SUM(W132:AC132)*IFERROR(IF(C132&lt;$F$8,IF($F$23="yes",M51/SUM(M51:$M$56),L51/SUM(L51:$L$56)),IF($F$23="yes",M78/SUM(M78:$M$83),L78/SUM(L78:$L$83))),0)</f>
        <v>-217787.52726906879</v>
      </c>
      <c r="AE132" s="4">
        <f t="shared" ca="1" si="147"/>
        <v>806093.06384346599</v>
      </c>
      <c r="AF132" s="124"/>
      <c r="AG132" s="63">
        <f t="shared" ca="1" si="148"/>
        <v>0</v>
      </c>
      <c r="AH132" s="4">
        <f t="shared" si="149"/>
        <v>0</v>
      </c>
      <c r="AI132" s="63">
        <f t="shared" ca="1" si="169"/>
        <v>0</v>
      </c>
      <c r="AJ132" s="63">
        <f t="shared" si="158"/>
        <v>0</v>
      </c>
      <c r="AK132" s="4">
        <f t="shared" ca="1" si="159"/>
        <v>0</v>
      </c>
      <c r="AL132" s="4">
        <f t="shared" ca="1" si="160"/>
        <v>0</v>
      </c>
      <c r="AM132" s="4">
        <f t="shared" ca="1" si="161"/>
        <v>0</v>
      </c>
      <c r="AN132" s="4">
        <f ca="1">-SUM(AG132:AM132)*IFERROR(IF(C132&lt;$F$8,IF($F$23="yes",M51/SUM(M51:$M$56),L51/SUM(L51:$L$56)),IF($F$23="yes",M78/SUM(M78:$M$83),L78/SUM(L78:$L$83))),0)</f>
        <v>0</v>
      </c>
      <c r="AO132" s="4">
        <f t="shared" ca="1" si="150"/>
        <v>0</v>
      </c>
      <c r="AP132" s="124"/>
      <c r="AQ132" s="70"/>
      <c r="AR132" s="70"/>
      <c r="AS132" s="70"/>
      <c r="AT132" s="22"/>
      <c r="AU132" s="125"/>
      <c r="AX132" s="126"/>
      <c r="AZ132" s="4"/>
    </row>
    <row r="133" spans="1:52" s="2" customFormat="1" outlineLevel="1" x14ac:dyDescent="0.55000000000000004">
      <c r="A133" s="9"/>
      <c r="B133" s="1" t="s">
        <v>24</v>
      </c>
      <c r="C133" s="3">
        <v>13</v>
      </c>
      <c r="D133" s="13"/>
      <c r="E133" s="63">
        <f t="shared" ca="1" si="162"/>
        <v>935898.10367876687</v>
      </c>
      <c r="F133" s="63">
        <f t="shared" si="131"/>
        <v>0</v>
      </c>
      <c r="G133" s="63">
        <f t="shared" si="132"/>
        <v>0</v>
      </c>
      <c r="H133" s="63">
        <f t="shared" ca="1" si="163"/>
        <v>2331.022047145068</v>
      </c>
      <c r="I133" s="63">
        <f t="shared" si="134"/>
        <v>-244421.4271890489</v>
      </c>
      <c r="J133" s="63">
        <f t="shared" ca="1" si="135"/>
        <v>0</v>
      </c>
      <c r="K133" s="63">
        <f t="shared" si="136"/>
        <v>0</v>
      </c>
      <c r="L133" s="63">
        <f t="shared" si="137"/>
        <v>0</v>
      </c>
      <c r="M133" s="63">
        <f t="shared" ca="1" si="164"/>
        <v>693807.69853686308</v>
      </c>
      <c r="N133" s="124"/>
      <c r="O133" s="63">
        <f t="shared" si="165"/>
        <v>28076.943110363027</v>
      </c>
      <c r="P133" s="63">
        <f t="shared" si="140"/>
        <v>0</v>
      </c>
      <c r="Q133" s="4">
        <f t="shared" si="166"/>
        <v>69.930661414352087</v>
      </c>
      <c r="R133" s="4">
        <f t="shared" si="170"/>
        <v>-7332.6428156714683</v>
      </c>
      <c r="S133" s="4">
        <f t="shared" si="142"/>
        <v>0</v>
      </c>
      <c r="T133" s="63">
        <f t="shared" si="143"/>
        <v>0</v>
      </c>
      <c r="U133" s="4">
        <f t="shared" si="144"/>
        <v>20814.230956105912</v>
      </c>
      <c r="V133" s="124"/>
      <c r="W133" s="63">
        <f t="shared" ca="1" si="145"/>
        <v>806093.06384346599</v>
      </c>
      <c r="X133" s="4">
        <f t="shared" ref="X133:X136" si="171">IF($C133=1,MAX(-F133-P133,0),0)</f>
        <v>0</v>
      </c>
      <c r="Y133" s="4">
        <f t="shared" ref="Y133:Y136" ca="1" si="172">SUM(W133:X133)*((1+$F$17)^(1/4)-1)</f>
        <v>4000.5847174893411</v>
      </c>
      <c r="Z133" s="4">
        <f t="shared" ca="1" si="153"/>
        <v>0</v>
      </c>
      <c r="AA133" s="4">
        <f t="shared" ca="1" si="154"/>
        <v>0</v>
      </c>
      <c r="AB133" s="4">
        <f t="shared" ca="1" si="155"/>
        <v>0</v>
      </c>
      <c r="AC133" s="4">
        <f t="shared" ca="1" si="156"/>
        <v>0</v>
      </c>
      <c r="AD133" s="4">
        <f ca="1">-SUM(W133:AC133)*IFERROR(IF(C133&lt;$F$8,IF($F$23="yes",M52/SUM(M52:$M$56),L52/SUM(L52:$L$56)),IF($F$23="yes",M79/SUM(M79:$M$83),L79/SUM(L79:$L$83))),0)</f>
        <v>-212125.86748477447</v>
      </c>
      <c r="AE133" s="4">
        <f t="shared" ca="1" si="147"/>
        <v>597967.78107618087</v>
      </c>
      <c r="AF133" s="124"/>
      <c r="AG133" s="63">
        <f t="shared" ca="1" si="148"/>
        <v>0</v>
      </c>
      <c r="AH133" s="4">
        <f t="shared" si="149"/>
        <v>0</v>
      </c>
      <c r="AI133" s="63">
        <f t="shared" ca="1" si="169"/>
        <v>0</v>
      </c>
      <c r="AJ133" s="63">
        <f t="shared" si="158"/>
        <v>0</v>
      </c>
      <c r="AK133" s="4">
        <f t="shared" ca="1" si="159"/>
        <v>0</v>
      </c>
      <c r="AL133" s="4">
        <f t="shared" ca="1" si="160"/>
        <v>0</v>
      </c>
      <c r="AM133" s="4">
        <f t="shared" ca="1" si="161"/>
        <v>0</v>
      </c>
      <c r="AN133" s="4">
        <f ca="1">-SUM(AG133:AM133)*IFERROR(IF(C133&lt;$F$8,IF($F$23="yes",M52/SUM(M52:$M$56),L52/SUM(L52:$L$56)),IF($F$23="yes",M79/SUM(M79:$M$83),L79/SUM(L79:$L$83))),0)</f>
        <v>0</v>
      </c>
      <c r="AO133" s="4">
        <f t="shared" ca="1" si="150"/>
        <v>0</v>
      </c>
      <c r="AP133" s="124"/>
      <c r="AQ133" s="70"/>
      <c r="AR133" s="70"/>
      <c r="AS133" s="70"/>
      <c r="AX133" s="126"/>
      <c r="AZ133" s="4"/>
    </row>
    <row r="134" spans="1:52" s="2" customFormat="1" outlineLevel="1" x14ac:dyDescent="0.55000000000000004">
      <c r="A134" s="9"/>
      <c r="B134" s="1" t="s">
        <v>25</v>
      </c>
      <c r="C134" s="3">
        <v>14</v>
      </c>
      <c r="D134" s="13"/>
      <c r="E134" s="63">
        <f t="shared" ca="1" si="162"/>
        <v>693807.69853686308</v>
      </c>
      <c r="F134" s="63">
        <f t="shared" si="131"/>
        <v>0</v>
      </c>
      <c r="G134" s="63">
        <f t="shared" si="132"/>
        <v>0</v>
      </c>
      <c r="H134" s="63">
        <f t="shared" ca="1" si="163"/>
        <v>1728.0524828625087</v>
      </c>
      <c r="I134" s="63">
        <f t="shared" si="134"/>
        <v>-238315.87715319096</v>
      </c>
      <c r="J134" s="63">
        <f t="shared" ca="1" si="135"/>
        <v>0</v>
      </c>
      <c r="K134" s="63">
        <f t="shared" si="136"/>
        <v>0</v>
      </c>
      <c r="L134" s="63">
        <f t="shared" si="137"/>
        <v>0</v>
      </c>
      <c r="M134" s="63">
        <f t="shared" ca="1" si="164"/>
        <v>457219.87386653462</v>
      </c>
      <c r="N134" s="124"/>
      <c r="O134" s="63">
        <f t="shared" si="165"/>
        <v>20814.230956105912</v>
      </c>
      <c r="P134" s="63">
        <f t="shared" si="140"/>
        <v>0</v>
      </c>
      <c r="Q134" s="4">
        <f t="shared" si="166"/>
        <v>51.841574485875313</v>
      </c>
      <c r="R134" s="4">
        <f t="shared" si="170"/>
        <v>-7149.4763145957295</v>
      </c>
      <c r="S134" s="4">
        <f t="shared" si="142"/>
        <v>0</v>
      </c>
      <c r="T134" s="63">
        <f t="shared" si="143"/>
        <v>0</v>
      </c>
      <c r="U134" s="4">
        <f t="shared" si="144"/>
        <v>13716.596215996058</v>
      </c>
      <c r="V134" s="124"/>
      <c r="W134" s="63">
        <f t="shared" ca="1" si="145"/>
        <v>597967.78107618087</v>
      </c>
      <c r="X134" s="4">
        <f t="shared" si="171"/>
        <v>0</v>
      </c>
      <c r="Y134" s="4">
        <f t="shared" ca="1" si="172"/>
        <v>2967.6731804616088</v>
      </c>
      <c r="Z134" s="4">
        <f t="shared" ca="1" si="153"/>
        <v>0</v>
      </c>
      <c r="AA134" s="4">
        <f t="shared" ca="1" si="154"/>
        <v>0</v>
      </c>
      <c r="AB134" s="4">
        <f t="shared" ca="1" si="155"/>
        <v>0</v>
      </c>
      <c r="AC134" s="4">
        <f t="shared" ca="1" si="156"/>
        <v>0</v>
      </c>
      <c r="AD134" s="4">
        <f ca="1">-SUM(W134:AC134)*IFERROR(IF(C134&lt;$F$8,IF($F$23="yes",M53/SUM(M53:$M$56),L53/SUM(L53:$L$56)),IF($F$23="yes",M80/SUM(M80:$M$83),L80/SUM(L80:$L$83))),0)</f>
        <v>-206611.38964388645</v>
      </c>
      <c r="AE134" s="4">
        <f t="shared" ca="1" si="147"/>
        <v>394324.06461275602</v>
      </c>
      <c r="AF134" s="124"/>
      <c r="AG134" s="63">
        <f t="shared" ca="1" si="148"/>
        <v>0</v>
      </c>
      <c r="AH134" s="4">
        <f t="shared" si="149"/>
        <v>0</v>
      </c>
      <c r="AI134" s="63">
        <f t="shared" ca="1" si="169"/>
        <v>0</v>
      </c>
      <c r="AJ134" s="63">
        <f t="shared" si="158"/>
        <v>0</v>
      </c>
      <c r="AK134" s="4">
        <f t="shared" ca="1" si="159"/>
        <v>0</v>
      </c>
      <c r="AL134" s="4">
        <f t="shared" ca="1" si="160"/>
        <v>0</v>
      </c>
      <c r="AM134" s="4">
        <f t="shared" ca="1" si="161"/>
        <v>0</v>
      </c>
      <c r="AN134" s="4">
        <f ca="1">-SUM(AG134:AM134)*IFERROR(IF(C134&lt;$F$8,IF($F$23="yes",M53/SUM(M53:$M$56),L53/SUM(L53:$L$56)),IF($F$23="yes",M80/SUM(M80:$M$83),L80/SUM(L80:$L$83))),0)</f>
        <v>0</v>
      </c>
      <c r="AO134" s="4">
        <f t="shared" ca="1" si="150"/>
        <v>0</v>
      </c>
      <c r="AP134" s="124"/>
      <c r="AQ134" s="70"/>
      <c r="AR134" s="70"/>
      <c r="AS134" s="70"/>
      <c r="AX134" s="126"/>
      <c r="AZ134" s="4"/>
    </row>
    <row r="135" spans="1:52" s="2" customFormat="1" outlineLevel="1" x14ac:dyDescent="0.55000000000000004">
      <c r="A135" s="9"/>
      <c r="B135" s="1" t="s">
        <v>26</v>
      </c>
      <c r="C135" s="3">
        <v>15</v>
      </c>
      <c r="D135" s="13"/>
      <c r="E135" s="63">
        <f t="shared" ca="1" si="162"/>
        <v>457219.87386653462</v>
      </c>
      <c r="F135" s="63">
        <f t="shared" si="131"/>
        <v>0</v>
      </c>
      <c r="G135" s="63">
        <f t="shared" si="132"/>
        <v>0</v>
      </c>
      <c r="H135" s="63">
        <f t="shared" ca="1" si="163"/>
        <v>1138.7880819358895</v>
      </c>
      <c r="I135" s="63">
        <f t="shared" si="134"/>
        <v>-232362.89067354452</v>
      </c>
      <c r="J135" s="63">
        <f t="shared" ca="1" si="135"/>
        <v>0</v>
      </c>
      <c r="K135" s="63">
        <f t="shared" si="136"/>
        <v>0</v>
      </c>
      <c r="L135" s="63">
        <f t="shared" si="137"/>
        <v>0</v>
      </c>
      <c r="M135" s="63">
        <f t="shared" ca="1" si="164"/>
        <v>225995.771274926</v>
      </c>
      <c r="N135" s="124"/>
      <c r="O135" s="63">
        <f t="shared" si="165"/>
        <v>13716.596215996058</v>
      </c>
      <c r="P135" s="63">
        <f t="shared" si="140"/>
        <v>0</v>
      </c>
      <c r="Q135" s="4">
        <f t="shared" si="166"/>
        <v>34.163642458076737</v>
      </c>
      <c r="R135" s="4">
        <f t="shared" si="170"/>
        <v>-6970.8867202063384</v>
      </c>
      <c r="S135" s="4">
        <f t="shared" si="142"/>
        <v>0</v>
      </c>
      <c r="T135" s="63">
        <f t="shared" si="143"/>
        <v>0</v>
      </c>
      <c r="U135" s="4">
        <f t="shared" si="144"/>
        <v>6779.8731382477972</v>
      </c>
      <c r="V135" s="124"/>
      <c r="W135" s="63">
        <f t="shared" ca="1" si="145"/>
        <v>394324.06461275602</v>
      </c>
      <c r="X135" s="4">
        <f t="shared" si="171"/>
        <v>0</v>
      </c>
      <c r="Y135" s="4">
        <f t="shared" ca="1" si="172"/>
        <v>1957.0033503407105</v>
      </c>
      <c r="Z135" s="4">
        <f t="shared" ca="1" si="153"/>
        <v>0</v>
      </c>
      <c r="AA135" s="4">
        <f t="shared" ca="1" si="154"/>
        <v>0</v>
      </c>
      <c r="AB135" s="4">
        <f t="shared" ca="1" si="155"/>
        <v>0</v>
      </c>
      <c r="AC135" s="4">
        <f t="shared" ca="1" si="156"/>
        <v>0</v>
      </c>
      <c r="AD135" s="4">
        <f ca="1">-SUM(W135:AC135)*IFERROR(IF(C135&lt;$F$8,IF($F$23="yes",M54/SUM(M54:$M$56),L54/SUM(L54:$L$56)),IF($F$23="yes",M81/SUM(M81:$M$83),L81/SUM(L81:$L$83))),0)</f>
        <v>-201240.26756728211</v>
      </c>
      <c r="AE135" s="4">
        <f t="shared" ca="1" si="147"/>
        <v>195040.80039581461</v>
      </c>
      <c r="AF135" s="124"/>
      <c r="AG135" s="63">
        <f t="shared" ca="1" si="148"/>
        <v>0</v>
      </c>
      <c r="AH135" s="4">
        <f t="shared" si="149"/>
        <v>0</v>
      </c>
      <c r="AI135" s="63">
        <f t="shared" ca="1" si="169"/>
        <v>0</v>
      </c>
      <c r="AJ135" s="63">
        <f t="shared" si="158"/>
        <v>0</v>
      </c>
      <c r="AK135" s="4">
        <f t="shared" ca="1" si="159"/>
        <v>0</v>
      </c>
      <c r="AL135" s="4">
        <f t="shared" ca="1" si="160"/>
        <v>0</v>
      </c>
      <c r="AM135" s="4">
        <f t="shared" ca="1" si="161"/>
        <v>0</v>
      </c>
      <c r="AN135" s="4">
        <f ca="1">-SUM(AG135:AM135)*IFERROR(IF(C135&lt;$F$8,IF($F$23="yes",M54/SUM(M54:$M$56),L54/SUM(L54:$L$56)),IF($F$23="yes",M81/SUM(M81:$M$83),L81/SUM(L81:$L$83))),0)</f>
        <v>0</v>
      </c>
      <c r="AO135" s="4">
        <f t="shared" ca="1" si="150"/>
        <v>0</v>
      </c>
      <c r="AP135" s="124"/>
      <c r="AQ135" s="70"/>
      <c r="AR135" s="70"/>
      <c r="AS135" s="70"/>
      <c r="AX135" s="126"/>
      <c r="AZ135" s="4"/>
    </row>
    <row r="136" spans="1:52" s="2" customFormat="1" outlineLevel="1" x14ac:dyDescent="0.55000000000000004">
      <c r="A136" s="9"/>
      <c r="B136" s="1" t="s">
        <v>27</v>
      </c>
      <c r="C136" s="3">
        <v>16</v>
      </c>
      <c r="D136" s="13"/>
      <c r="E136" s="63">
        <f t="shared" ca="1" si="162"/>
        <v>225995.771274926</v>
      </c>
      <c r="F136" s="63">
        <f t="shared" si="131"/>
        <v>0</v>
      </c>
      <c r="G136" s="63">
        <f t="shared" si="132"/>
        <v>0</v>
      </c>
      <c r="H136" s="63">
        <f t="shared" ca="1" si="163"/>
        <v>562.88299263850547</v>
      </c>
      <c r="I136" s="63">
        <f t="shared" si="134"/>
        <v>-226558.65426756509</v>
      </c>
      <c r="J136" s="63">
        <f t="shared" ca="1" si="135"/>
        <v>0</v>
      </c>
      <c r="K136" s="63">
        <f t="shared" si="136"/>
        <v>0</v>
      </c>
      <c r="L136" s="63">
        <f t="shared" si="137"/>
        <v>0</v>
      </c>
      <c r="M136" s="63">
        <f t="shared" ca="1" si="164"/>
        <v>-5.8207660913467407E-10</v>
      </c>
      <c r="N136" s="124"/>
      <c r="O136" s="63">
        <f t="shared" si="165"/>
        <v>6779.8731382477972</v>
      </c>
      <c r="P136" s="63">
        <f t="shared" si="140"/>
        <v>0</v>
      </c>
      <c r="Q136" s="4">
        <f t="shared" si="166"/>
        <v>16.886489779155205</v>
      </c>
      <c r="R136" s="4">
        <f t="shared" si="170"/>
        <v>-6796.7596280269527</v>
      </c>
      <c r="S136" s="4">
        <f t="shared" si="142"/>
        <v>0</v>
      </c>
      <c r="T136" s="63">
        <f t="shared" si="143"/>
        <v>0</v>
      </c>
      <c r="U136" s="4">
        <f t="shared" si="144"/>
        <v>0</v>
      </c>
      <c r="V136" s="124"/>
      <c r="W136" s="63">
        <f t="shared" ca="1" si="145"/>
        <v>195040.80039581461</v>
      </c>
      <c r="X136" s="4">
        <f t="shared" si="171"/>
        <v>0</v>
      </c>
      <c r="Y136" s="4">
        <f t="shared" ca="1" si="172"/>
        <v>967.97414634733275</v>
      </c>
      <c r="Z136" s="4">
        <f t="shared" ca="1" si="153"/>
        <v>0</v>
      </c>
      <c r="AA136" s="4">
        <f t="shared" ca="1" si="154"/>
        <v>0</v>
      </c>
      <c r="AB136" s="4">
        <f t="shared" ca="1" si="155"/>
        <v>0</v>
      </c>
      <c r="AC136" s="4">
        <f t="shared" ca="1" si="156"/>
        <v>0</v>
      </c>
      <c r="AD136" s="4">
        <f ca="1">-SUM(W136:AC136)*IFERROR(IF(C136&lt;$F$8,IF($F$23="yes",M55/SUM(M55:$M$56),L55/SUM(L55:$L$56)),IF($F$23="yes",M82/SUM(M82:$M$83),L82/SUM(L82:$L$83))),0)</f>
        <v>-196008.77454216193</v>
      </c>
      <c r="AE136" s="4">
        <f t="shared" ca="1" si="147"/>
        <v>0</v>
      </c>
      <c r="AF136" s="124"/>
      <c r="AG136" s="63">
        <f t="shared" ca="1" si="148"/>
        <v>0</v>
      </c>
      <c r="AH136" s="4">
        <f t="shared" si="149"/>
        <v>0</v>
      </c>
      <c r="AI136" s="63">
        <f t="shared" ca="1" si="169"/>
        <v>0</v>
      </c>
      <c r="AJ136" s="63">
        <f t="shared" si="158"/>
        <v>0</v>
      </c>
      <c r="AK136" s="4">
        <f t="shared" ca="1" si="159"/>
        <v>0</v>
      </c>
      <c r="AL136" s="4">
        <f t="shared" ca="1" si="160"/>
        <v>0</v>
      </c>
      <c r="AM136" s="4">
        <f t="shared" ca="1" si="161"/>
        <v>0</v>
      </c>
      <c r="AN136" s="4">
        <f ca="1">-SUM(AG136:AM136)*IFERROR(IF(C136&lt;$F$8,IF($F$23="yes",M55/SUM(M55:$M$56),L55/SUM(L55:$L$56)),IF($F$23="yes",M82/SUM(M82:$M$83),L82/SUM(L82:$L$83))),0)</f>
        <v>0</v>
      </c>
      <c r="AO136" s="4">
        <f t="shared" ca="1" si="150"/>
        <v>0</v>
      </c>
      <c r="AP136" s="124"/>
      <c r="AQ136" s="70"/>
      <c r="AR136" s="70"/>
      <c r="AS136" s="70"/>
      <c r="AX136" s="126"/>
      <c r="AZ136" s="4"/>
    </row>
    <row r="137" spans="1:52" s="2" customFormat="1" outlineLevel="1" x14ac:dyDescent="0.55000000000000004">
      <c r="A137"/>
      <c r="B137" s="8"/>
      <c r="C137" s="6"/>
      <c r="D137" s="13"/>
      <c r="E137" s="7"/>
      <c r="F137" s="7"/>
      <c r="G137" s="7"/>
      <c r="H137" s="7"/>
      <c r="I137" s="7"/>
      <c r="J137" s="7"/>
      <c r="K137" s="7"/>
      <c r="L137" s="7"/>
      <c r="M137" s="7"/>
      <c r="O137" s="7"/>
      <c r="P137" s="7"/>
      <c r="Q137" s="7"/>
      <c r="R137" s="7"/>
      <c r="S137" s="7"/>
      <c r="T137" s="7"/>
      <c r="U137" s="7"/>
      <c r="W137" s="7"/>
      <c r="X137" s="7"/>
      <c r="Y137" s="7"/>
      <c r="Z137" s="7"/>
      <c r="AA137" s="7"/>
      <c r="AB137" s="7"/>
      <c r="AC137" s="7"/>
      <c r="AD137" s="7"/>
      <c r="AE137" s="7"/>
      <c r="AG137" s="7"/>
      <c r="AH137" s="7"/>
      <c r="AI137" s="7"/>
      <c r="AJ137" s="7"/>
      <c r="AK137" s="7"/>
      <c r="AL137" s="7"/>
      <c r="AM137" s="7"/>
      <c r="AN137" s="7"/>
      <c r="AO137" s="7"/>
      <c r="AQ137" s="70"/>
      <c r="AR137" s="70"/>
      <c r="AS137" s="70"/>
    </row>
    <row r="138" spans="1:52" s="2" customFormat="1" outlineLevel="1" x14ac:dyDescent="0.55000000000000004">
      <c r="A138" s="9"/>
      <c r="B138" s="4"/>
      <c r="C138" s="4"/>
      <c r="D138" s="13"/>
      <c r="AQ138" s="70"/>
      <c r="AR138" s="70"/>
      <c r="AS138" s="70"/>
    </row>
    <row r="139" spans="1:52" s="2" customFormat="1" outlineLevel="1" x14ac:dyDescent="0.55000000000000004">
      <c r="A139" s="9"/>
      <c r="B139" s="24"/>
      <c r="C139" s="24"/>
      <c r="D139" s="13"/>
      <c r="F139" s="52">
        <f t="shared" ref="F139:L139" ca="1" si="173">SUM(F120:F136)</f>
        <v>-4508618.2244061092</v>
      </c>
      <c r="G139" s="52">
        <f t="shared" si="173"/>
        <v>8914750.7766674031</v>
      </c>
      <c r="H139" s="52">
        <f t="shared" ca="1" si="173"/>
        <v>55716.368249357984</v>
      </c>
      <c r="I139" s="52">
        <f t="shared" si="173"/>
        <v>-4656177.9303945946</v>
      </c>
      <c r="J139" s="52">
        <f t="shared" ca="1" si="173"/>
        <v>0</v>
      </c>
      <c r="K139" s="52">
        <f t="shared" ca="1" si="173"/>
        <v>169211.61874003406</v>
      </c>
      <c r="L139" s="52">
        <f t="shared" ca="1" si="173"/>
        <v>25117.391143906629</v>
      </c>
      <c r="P139" s="52">
        <f t="shared" ref="P139:T139" si="174">SUM(P120:P136)</f>
        <v>212439.58335774799</v>
      </c>
      <c r="Q139" s="52">
        <f t="shared" si="174"/>
        <v>6372.911109770891</v>
      </c>
      <c r="R139" s="52">
        <f t="shared" si="174"/>
        <v>-187589.52771870466</v>
      </c>
      <c r="S139" s="52">
        <f t="shared" si="174"/>
        <v>-32011.769463811375</v>
      </c>
      <c r="T139" s="52">
        <f t="shared" si="174"/>
        <v>788.80271499713126</v>
      </c>
      <c r="X139" s="52">
        <f t="shared" ref="X139:AD139" ca="1" si="175">SUM(X120:X136)</f>
        <v>4296178.6410483615</v>
      </c>
      <c r="Y139" s="52">
        <f t="shared" ca="1" si="175"/>
        <v>158364.46313979194</v>
      </c>
      <c r="Z139" s="52">
        <f t="shared" ca="1" si="175"/>
        <v>21225.758982388783</v>
      </c>
      <c r="AA139" s="52">
        <f t="shared" ca="1" si="175"/>
        <v>-137199.8492762227</v>
      </c>
      <c r="AB139" s="52">
        <f t="shared" ca="1" si="175"/>
        <v>0</v>
      </c>
      <c r="AC139" s="52">
        <f t="shared" ca="1" si="175"/>
        <v>0</v>
      </c>
      <c r="AD139" s="52">
        <f t="shared" ca="1" si="175"/>
        <v>-4338569.0138943195</v>
      </c>
      <c r="AH139" s="52">
        <f t="shared" ref="AH139:AN139" ca="1" si="176">SUM(AH120:AH136)</f>
        <v>0</v>
      </c>
      <c r="AI139" s="52">
        <f t="shared" ca="1" si="176"/>
        <v>0</v>
      </c>
      <c r="AJ139" s="52">
        <f t="shared" ca="1" si="176"/>
        <v>0</v>
      </c>
      <c r="AK139" s="52">
        <f t="shared" ca="1" si="176"/>
        <v>0</v>
      </c>
      <c r="AL139" s="52">
        <f t="shared" ca="1" si="176"/>
        <v>0</v>
      </c>
      <c r="AM139" s="52">
        <f t="shared" ca="1" si="176"/>
        <v>0</v>
      </c>
      <c r="AN139" s="52">
        <f t="shared" ca="1" si="176"/>
        <v>0</v>
      </c>
      <c r="AQ139" s="70"/>
      <c r="AR139" s="70"/>
      <c r="AS139" s="70"/>
    </row>
    <row r="140" spans="1:52" s="2" customFormat="1" x14ac:dyDescent="0.55000000000000004">
      <c r="A140" s="9"/>
      <c r="B140" s="24"/>
      <c r="C140" s="24"/>
      <c r="D140" s="4"/>
      <c r="E140" s="4"/>
      <c r="AL140" s="70"/>
      <c r="AM140" s="70"/>
      <c r="AN140" s="70"/>
    </row>
    <row r="141" spans="1:52" s="2" customFormat="1" x14ac:dyDescent="0.55000000000000004">
      <c r="A141" s="9"/>
      <c r="B141" s="24"/>
      <c r="C141" s="24"/>
      <c r="D141" s="4"/>
      <c r="E141" s="4"/>
      <c r="AL141" s="70"/>
      <c r="AM141" s="70"/>
      <c r="AN141" s="70"/>
    </row>
    <row r="142" spans="1:52" s="70" customFormat="1" ht="18.3" x14ac:dyDescent="0.55000000000000004">
      <c r="B142" s="145" t="s">
        <v>175</v>
      </c>
      <c r="AG142" s="75"/>
      <c r="AK142" s="55"/>
    </row>
    <row r="143" spans="1:52" s="70" customFormat="1" outlineLevel="1" x14ac:dyDescent="0.55000000000000004">
      <c r="B143" s="55"/>
      <c r="C143" s="55"/>
      <c r="D143" s="55"/>
      <c r="E143" s="55"/>
      <c r="F143" s="55"/>
      <c r="G143" s="55"/>
      <c r="H143" s="55"/>
      <c r="I143" s="55"/>
      <c r="J143" s="55"/>
      <c r="K143" s="55"/>
      <c r="L143" s="55"/>
      <c r="M143" s="55"/>
      <c r="N143" s="55"/>
      <c r="O143" s="55"/>
      <c r="P143" s="55"/>
      <c r="Q143" s="55"/>
      <c r="R143" s="55"/>
      <c r="S143" s="55"/>
      <c r="T143" s="55"/>
      <c r="U143" s="55"/>
      <c r="V143" s="55"/>
      <c r="AG143" s="75"/>
    </row>
    <row r="144" spans="1:52" s="70" customFormat="1" outlineLevel="1" x14ac:dyDescent="0.55000000000000004">
      <c r="B144" s="176" t="s">
        <v>10</v>
      </c>
      <c r="C144" s="176"/>
      <c r="E144" s="176" t="s">
        <v>125</v>
      </c>
      <c r="F144" s="176"/>
      <c r="G144" s="176"/>
      <c r="H144" s="176"/>
      <c r="I144" s="176"/>
      <c r="J144" s="176"/>
      <c r="L144" s="176" t="s">
        <v>391</v>
      </c>
      <c r="M144" s="176"/>
      <c r="N144" s="176"/>
      <c r="O144" s="176"/>
      <c r="P144" s="176"/>
      <c r="R144" s="176" t="s">
        <v>67</v>
      </c>
      <c r="S144" s="176"/>
      <c r="T144" s="176"/>
      <c r="U144" s="176"/>
      <c r="V144" s="176"/>
      <c r="W144" s="176"/>
      <c r="X144" s="176"/>
      <c r="Y144" s="176"/>
      <c r="Z144" s="176"/>
      <c r="AB144" s="153" t="s">
        <v>146</v>
      </c>
      <c r="AD144" s="177" t="s">
        <v>5</v>
      </c>
      <c r="AE144" s="177"/>
      <c r="AG144" s="75"/>
    </row>
    <row r="145" spans="2:33" s="70" customFormat="1" ht="25.8" outlineLevel="1" x14ac:dyDescent="0.55000000000000004">
      <c r="B145" s="147" t="s">
        <v>149</v>
      </c>
      <c r="C145" s="147" t="s">
        <v>10</v>
      </c>
      <c r="E145" s="54" t="s">
        <v>11</v>
      </c>
      <c r="F145" s="54" t="s">
        <v>13</v>
      </c>
      <c r="G145" s="54" t="s">
        <v>398</v>
      </c>
      <c r="H145" s="54" t="s">
        <v>352</v>
      </c>
      <c r="I145" s="54" t="s">
        <v>396</v>
      </c>
      <c r="J145" s="54" t="s">
        <v>15</v>
      </c>
      <c r="L145" s="54" t="s">
        <v>11</v>
      </c>
      <c r="M145" s="54" t="s">
        <v>157</v>
      </c>
      <c r="N145" s="54" t="s">
        <v>13</v>
      </c>
      <c r="O145" s="54" t="s">
        <v>136</v>
      </c>
      <c r="P145" s="54" t="s">
        <v>15</v>
      </c>
      <c r="Q145" s="51"/>
      <c r="R145" s="54" t="s">
        <v>11</v>
      </c>
      <c r="S145" s="54" t="s">
        <v>38</v>
      </c>
      <c r="T145" s="54" t="s">
        <v>41</v>
      </c>
      <c r="U145" s="59" t="s">
        <v>13</v>
      </c>
      <c r="V145" s="56" t="s">
        <v>392</v>
      </c>
      <c r="W145" s="59" t="s">
        <v>14</v>
      </c>
      <c r="X145" s="54" t="s">
        <v>121</v>
      </c>
      <c r="Y145" s="54" t="s">
        <v>15</v>
      </c>
      <c r="Z145" s="54" t="s">
        <v>397</v>
      </c>
      <c r="AB145" s="76" t="s">
        <v>15</v>
      </c>
      <c r="AD145" s="161" t="s">
        <v>150</v>
      </c>
      <c r="AE145" s="161" t="s">
        <v>151</v>
      </c>
      <c r="AG145" s="75"/>
    </row>
    <row r="146" spans="2:33" s="70" customFormat="1" outlineLevel="1" x14ac:dyDescent="0.55000000000000004">
      <c r="B146" s="120" t="s">
        <v>312</v>
      </c>
      <c r="C146" s="120" t="s">
        <v>313</v>
      </c>
      <c r="E146" s="148" t="s">
        <v>314</v>
      </c>
      <c r="F146" s="148" t="s">
        <v>315</v>
      </c>
      <c r="G146" s="148" t="s">
        <v>316</v>
      </c>
      <c r="H146" s="148" t="s">
        <v>317</v>
      </c>
      <c r="I146" s="148" t="s">
        <v>318</v>
      </c>
      <c r="J146" s="148" t="s">
        <v>319</v>
      </c>
      <c r="L146" s="60" t="s">
        <v>320</v>
      </c>
      <c r="M146" s="60" t="s">
        <v>321</v>
      </c>
      <c r="N146" s="60" t="s">
        <v>322</v>
      </c>
      <c r="O146" s="60" t="s">
        <v>323</v>
      </c>
      <c r="P146" s="60" t="s">
        <v>324</v>
      </c>
      <c r="Q146" s="61"/>
      <c r="R146" s="60" t="s">
        <v>325</v>
      </c>
      <c r="S146" s="60" t="s">
        <v>326</v>
      </c>
      <c r="T146" s="60" t="s">
        <v>327</v>
      </c>
      <c r="U146" s="60" t="s">
        <v>328</v>
      </c>
      <c r="V146" s="60" t="s">
        <v>329</v>
      </c>
      <c r="W146" s="60" t="s">
        <v>330</v>
      </c>
      <c r="X146" s="60" t="s">
        <v>331</v>
      </c>
      <c r="Y146" s="60" t="s">
        <v>332</v>
      </c>
      <c r="Z146" s="60" t="s">
        <v>333</v>
      </c>
      <c r="AB146" s="60" t="s">
        <v>334</v>
      </c>
      <c r="AD146" s="60" t="s">
        <v>335</v>
      </c>
      <c r="AE146" s="60" t="s">
        <v>336</v>
      </c>
      <c r="AG146" s="75"/>
    </row>
    <row r="147" spans="2:33" s="70" customFormat="1" outlineLevel="1" x14ac:dyDescent="0.55000000000000004">
      <c r="B147" s="117"/>
      <c r="C147" s="118">
        <v>0</v>
      </c>
      <c r="L147" s="55"/>
      <c r="N147" s="55"/>
      <c r="O147" s="55"/>
      <c r="P147" s="55"/>
      <c r="Q147" s="55"/>
      <c r="R147" s="51"/>
      <c r="S147" s="51"/>
      <c r="T147" s="51"/>
      <c r="U147" s="64"/>
      <c r="V147" s="51"/>
      <c r="W147" s="51"/>
      <c r="X147" s="51"/>
      <c r="Y147" s="51"/>
      <c r="Z147" s="51"/>
      <c r="AB147" s="51"/>
      <c r="AD147" s="51"/>
      <c r="AE147" s="65"/>
      <c r="AG147" s="75"/>
    </row>
    <row r="148" spans="2:33" s="70" customFormat="1" outlineLevel="1" x14ac:dyDescent="0.55000000000000004">
      <c r="B148" s="1" t="s">
        <v>6</v>
      </c>
      <c r="C148" s="3">
        <v>1</v>
      </c>
      <c r="E148" s="51">
        <f>IF(C148=1,Z39,J147)*(1-(F26="immediate"))</f>
        <v>-900000</v>
      </c>
      <c r="F148" s="51">
        <f>IF($F$27="yes",E148*((1+$F$17)^(1/4)-1),0)</f>
        <v>0</v>
      </c>
      <c r="G148" s="51">
        <f>-(E148+F148)*($F$26="time")*IFERROR(IF($F$27="yes",D40/SUM(D40:$D$55),1/COUNT(D40:$D$55)),0)</f>
        <v>0</v>
      </c>
      <c r="H148" s="51">
        <f>-(E148+F148)*($F$26="policies IF")*IFERROR(IF(C148&lt;$F$8,IF($F$27="yes",H40/SUM(H40:$H$55),F40/SUM(F40:$F$55)),IF($F$27="yes",H67/SUM(H67:$H$82),F67/SUM(F67:$F$82))),0)</f>
        <v>0</v>
      </c>
      <c r="I148" s="51">
        <f>-(E148+F148)*($F$26="risk")*IFERROR(IF(C148&lt;$F$8,IF($F$27="yes",R40/SUM(R40:$R$55),Q40/SUM(Q40:$Q$55)),IF($F$27="yes",R67/SUM(R67:$R$82),Q67/SUM(Q67:$Q$82))),0)</f>
        <v>82710.961885402707</v>
      </c>
      <c r="J148" s="51">
        <f t="shared" ref="J148:J155" si="177">SUM(E148:I148)</f>
        <v>-817289.03811459732</v>
      </c>
      <c r="K148" s="124"/>
      <c r="L148" s="51">
        <f ca="1">IF(C148=1,IF(F27="yes",-AD58-AH58,-W58-AA58),P147)</f>
        <v>7940519.991330306</v>
      </c>
      <c r="M148" s="51">
        <f>IF(C148=$F$8,AS66,0)</f>
        <v>0</v>
      </c>
      <c r="N148" s="51">
        <f>IF($F$27="yes",(L148+M148)*((1+$F$17)^(1/4)-1),0)</f>
        <v>0</v>
      </c>
      <c r="O148" s="51">
        <f ca="1">-(L148+M148+N148)*IFERROR(IF(C148&lt;$F$8,IF($F$24="yes",R40/SUM(R40:$R$56),Q40/SUM(Q40:$Q$56)),IF($F$24="yes",R67/SUM(R67:$R$82),Q67/SUM(Q67:$Q$82))),0)</f>
        <v>-752784.98488611158</v>
      </c>
      <c r="P148" s="51">
        <f t="shared" ref="P148:P155" ca="1" si="178">SUM(L148:O148)</f>
        <v>7187735.0064441944</v>
      </c>
      <c r="Q148" s="124"/>
      <c r="R148" s="51">
        <f t="shared" ref="R148:R155" si="179">IF(C148=1,0,Y147)</f>
        <v>0</v>
      </c>
      <c r="S148" s="51">
        <f t="shared" ref="S148:S163" si="180">IF($C121&lt;=$F$8,-W39,-W93)</f>
        <v>1825458.6239573236</v>
      </c>
      <c r="T148" s="51">
        <f>E148</f>
        <v>-900000</v>
      </c>
      <c r="U148" s="51">
        <f t="shared" ref="U148:U155" si="181">IF($F$27="yes",(R148+S148+T148)*((1+$F$17)^(1/4)-1),0)</f>
        <v>0</v>
      </c>
      <c r="V148" s="51">
        <f>-SUM(G148:I148)</f>
        <v>-82710.961885402707</v>
      </c>
      <c r="W148" s="51">
        <f ca="1">O148</f>
        <v>-752784.98488611158</v>
      </c>
      <c r="X148" s="51">
        <f ca="1">IF($C121&lt;$F$8,-AA40,-AA94)</f>
        <v>0</v>
      </c>
      <c r="Y148" s="51">
        <f t="shared" ref="Y148:Y155" ca="1" si="182">SUM(R148:X148)</f>
        <v>89962.677185809356</v>
      </c>
      <c r="Z148" s="51">
        <f t="shared" ref="Z148:Z163" ca="1" si="183">ROUND(MAX(Y148,M121+U121),0)</f>
        <v>89963</v>
      </c>
      <c r="AB148" s="51">
        <f t="shared" ref="AB148:AB163" ca="1" si="184">ROUND(M121+U121+AE121,2)</f>
        <v>1909904.26</v>
      </c>
      <c r="AD148" s="51">
        <f t="shared" ref="AD148:AD155" ca="1" si="185">ABS(Z148-AB148)</f>
        <v>1819941.26</v>
      </c>
      <c r="AE148" s="93">
        <f t="shared" ref="AE148:AE155" ca="1" si="186">IFERROR(AD148/ABS(AB148),0)</f>
        <v>0.95289659179041786</v>
      </c>
      <c r="AG148" s="75"/>
    </row>
    <row r="149" spans="2:33" s="70" customFormat="1" outlineLevel="1" x14ac:dyDescent="0.55000000000000004">
      <c r="B149" s="1" t="s">
        <v>7</v>
      </c>
      <c r="C149" s="3">
        <v>2</v>
      </c>
      <c r="E149" s="51">
        <f t="shared" ref="E149:E163" si="187">IF(C149=1,Z40,J148)</f>
        <v>-817289.03811459732</v>
      </c>
      <c r="F149" s="51">
        <f t="shared" ref="F149:F155" si="188">IF($F$27="yes",E149*((1+$F$17)^(1/4)-1),0)</f>
        <v>0</v>
      </c>
      <c r="G149" s="51">
        <f>-(E149+F149)*($F$26="time")*IFERROR(IF($F$27="yes",D41/SUM(D41:$D$55),1/COUNT(D41:$D$55)),0)</f>
        <v>0</v>
      </c>
      <c r="H149" s="51">
        <f>-(E149+F149)*($F$26="policies IF")*IFERROR(IF(C149&lt;$F$8,IF($F$27="yes",H41/SUM(H41:$H$55),F41/SUM(F41:$F$55)),IF($F$27="yes",H68/SUM(H68:$H$82),F68/SUM(F68:$F$82))),0)</f>
        <v>0</v>
      </c>
      <c r="I149" s="51">
        <f>-(E149+F149)*($F$26="risk")*IFERROR(IF(C149&lt;$F$8,IF($F$27="yes",R41/SUM(R41:$R$55),Q41/SUM(Q41:$Q$55)),IF($F$27="yes",R68/SUM(R68:$R$82),Q68/SUM(Q68:$Q$82))),0)</f>
        <v>78223.198175701109</v>
      </c>
      <c r="J149" s="51">
        <f t="shared" si="177"/>
        <v>-739065.83993889624</v>
      </c>
      <c r="K149" s="124"/>
      <c r="L149" s="51">
        <f ca="1">IF(C149=1,IF(F28="yes",-AD59-AH59,-W59-AA59),P148)</f>
        <v>7187735.0064441944</v>
      </c>
      <c r="M149" s="51">
        <f t="shared" ref="M149:M163" si="189">IF(C149=$F$8,AS67,0)</f>
        <v>0</v>
      </c>
      <c r="N149" s="51">
        <f t="shared" ref="N149:N155" si="190">IF($F$27="yes",(L149+M149)*((1+$F$17)^(1/4)-1),0)</f>
        <v>0</v>
      </c>
      <c r="O149" s="51">
        <f ca="1">-(L149+M149+N149)*IFERROR(IF(C149&lt;$F$8,IF($F$24="yes",R41/SUM(R41:$R$56),Q41/SUM(Q41:$Q$56)),IF($F$24="yes",R68/SUM(R68:$R$82),Q68/SUM(Q68:$Q$82))),0)</f>
        <v>-708424.22190152539</v>
      </c>
      <c r="P149" s="51">
        <f t="shared" ca="1" si="178"/>
        <v>6479310.7845426686</v>
      </c>
      <c r="Q149" s="124"/>
      <c r="R149" s="51">
        <f t="shared" ca="1" si="179"/>
        <v>89962.677185809356</v>
      </c>
      <c r="S149" s="51">
        <f t="shared" si="180"/>
        <v>1516687.3113547864</v>
      </c>
      <c r="T149" s="51">
        <f t="shared" ref="T149:T163" si="191">-Z40</f>
        <v>0</v>
      </c>
      <c r="U149" s="51">
        <f t="shared" si="181"/>
        <v>0</v>
      </c>
      <c r="V149" s="51">
        <f t="shared" ref="V149:V155" si="192">-SUM(G149:I149)</f>
        <v>-78223.198175701109</v>
      </c>
      <c r="W149" s="51">
        <f t="shared" ref="W149:W155" ca="1" si="193">O149</f>
        <v>-708424.22190152539</v>
      </c>
      <c r="X149" s="51">
        <f t="shared" ref="X149:X163" ca="1" si="194">IF($C122&lt;$F$8,-AA41,-AA95)</f>
        <v>0</v>
      </c>
      <c r="Y149" s="51">
        <f t="shared" ca="1" si="182"/>
        <v>820002.56846336939</v>
      </c>
      <c r="Z149" s="51">
        <f t="shared" ca="1" si="183"/>
        <v>820003</v>
      </c>
      <c r="AB149" s="51">
        <f t="shared" ca="1" si="184"/>
        <v>2658710.04</v>
      </c>
      <c r="AD149" s="51">
        <f t="shared" ca="1" si="185"/>
        <v>1838707.04</v>
      </c>
      <c r="AE149" s="93">
        <f t="shared" ca="1" si="186"/>
        <v>0.6915786273556932</v>
      </c>
      <c r="AG149" s="75"/>
    </row>
    <row r="150" spans="2:33" s="70" customFormat="1" outlineLevel="1" x14ac:dyDescent="0.55000000000000004">
      <c r="B150" s="1" t="s">
        <v>8</v>
      </c>
      <c r="C150" s="3">
        <v>3</v>
      </c>
      <c r="E150" s="51">
        <f t="shared" si="187"/>
        <v>-739065.83993889624</v>
      </c>
      <c r="F150" s="51">
        <f t="shared" si="188"/>
        <v>0</v>
      </c>
      <c r="G150" s="51">
        <f>-(E150+F150)*($F$26="time")*IFERROR(IF($F$27="yes",D42/SUM(D42:$D$55),1/COUNT(D42:$D$55)),0)</f>
        <v>0</v>
      </c>
      <c r="H150" s="51">
        <f>-(E150+F150)*($F$26="policies IF")*IFERROR(IF(C150&lt;$F$8,IF($F$27="yes",H42/SUM(H42:$H$55),F42/SUM(F42:$F$55)),IF($F$27="yes",H69/SUM(H69:$H$82),F69/SUM(F69:$F$82))),0)</f>
        <v>0</v>
      </c>
      <c r="I150" s="51">
        <f>-(E150+F150)*($F$26="risk")*IFERROR(IF(C150&lt;$F$8,IF($F$27="yes",R42/SUM(R42:$R$55),Q42/SUM(Q42:$Q$55)),IF($F$27="yes",R69/SUM(R69:$R$82),Q69/SUM(Q69:$Q$82))),0)</f>
        <v>73978.933304061866</v>
      </c>
      <c r="J150" s="51">
        <f t="shared" si="177"/>
        <v>-665086.90663483436</v>
      </c>
      <c r="K150" s="124"/>
      <c r="L150" s="51">
        <f ca="1">IF(C150=1,IF(F30="yes",-AD61-AH61,-W61-AA61),P149)</f>
        <v>6479310.7845426686</v>
      </c>
      <c r="M150" s="51">
        <f t="shared" si="189"/>
        <v>0</v>
      </c>
      <c r="N150" s="51">
        <f t="shared" si="190"/>
        <v>0</v>
      </c>
      <c r="O150" s="51">
        <f ca="1">-(L150+M150+N150)*IFERROR(IF(C150&lt;$F$8,IF($F$24="yes",R42/SUM(R42:$R$56),Q42/SUM(Q42:$Q$56)),IF($F$24="yes",R69/SUM(R69:$R$82),Q69/SUM(Q69:$Q$82))),0)</f>
        <v>-666677.58822621603</v>
      </c>
      <c r="P150" s="51">
        <f t="shared" ca="1" si="178"/>
        <v>5812633.1963164527</v>
      </c>
      <c r="Q150" s="124"/>
      <c r="R150" s="51">
        <f t="shared" ca="1" si="179"/>
        <v>820002.56846336939</v>
      </c>
      <c r="S150" s="51">
        <f t="shared" si="180"/>
        <v>1625588.2491037957</v>
      </c>
      <c r="T150" s="51">
        <f t="shared" si="191"/>
        <v>0</v>
      </c>
      <c r="U150" s="51">
        <f t="shared" si="181"/>
        <v>0</v>
      </c>
      <c r="V150" s="51">
        <f t="shared" si="192"/>
        <v>-73978.933304061866</v>
      </c>
      <c r="W150" s="51">
        <f t="shared" ca="1" si="193"/>
        <v>-666677.58822621603</v>
      </c>
      <c r="X150" s="51">
        <f t="shared" ca="1" si="194"/>
        <v>0</v>
      </c>
      <c r="Y150" s="51">
        <f t="shared" ca="1" si="182"/>
        <v>1704934.2960368874</v>
      </c>
      <c r="Z150" s="51">
        <f t="shared" ca="1" si="183"/>
        <v>1704934</v>
      </c>
      <c r="AB150" s="51">
        <f t="shared" ca="1" si="184"/>
        <v>3562509.89</v>
      </c>
      <c r="AD150" s="51">
        <f t="shared" ca="1" si="185"/>
        <v>1857575.8900000001</v>
      </c>
      <c r="AE150" s="93">
        <f t="shared" ca="1" si="186"/>
        <v>0.5214233636836304</v>
      </c>
      <c r="AG150" s="75"/>
    </row>
    <row r="151" spans="2:33" s="70" customFormat="1" outlineLevel="1" x14ac:dyDescent="0.55000000000000004">
      <c r="B151" s="1" t="s">
        <v>9</v>
      </c>
      <c r="C151" s="3">
        <v>4</v>
      </c>
      <c r="E151" s="51">
        <f t="shared" si="187"/>
        <v>-665086.90663483436</v>
      </c>
      <c r="F151" s="51">
        <f t="shared" si="188"/>
        <v>0</v>
      </c>
      <c r="G151" s="51">
        <f>-(E151+F151)*($F$26="time")*IFERROR(IF($F$27="yes",D43/SUM(D43:$D$55),1/COUNT(D43:$D$55)),0)</f>
        <v>0</v>
      </c>
      <c r="H151" s="51">
        <f>-(E151+F151)*($F$26="policies IF")*IFERROR(IF(C151&lt;$F$8,IF($F$27="yes",H43/SUM(H43:$H$55),F43/SUM(F43:$F$55)),IF($F$27="yes",H70/SUM(H70:$H$82),F70/SUM(F70:$F$82))),0)</f>
        <v>0</v>
      </c>
      <c r="I151" s="51">
        <f>-(E151+F151)*($F$26="risk")*IFERROR(IF(C151&lt;$F$8,IF($F$27="yes",R43/SUM(R43:$R$55),Q43/SUM(Q43:$Q$55)),IF($F$27="yes",R70/SUM(R70:$R$82),Q70/SUM(Q70:$Q$82))),0)</f>
        <v>69964.955415322111</v>
      </c>
      <c r="J151" s="51">
        <f t="shared" si="177"/>
        <v>-595121.95121951227</v>
      </c>
      <c r="K151" s="124"/>
      <c r="L151" s="51">
        <f ca="1">IF(C151=1,IF(F31="yes",-AD62-AH62,-W62-AA62),P150)</f>
        <v>5812633.1963164527</v>
      </c>
      <c r="M151" s="51">
        <f t="shared" si="189"/>
        <v>0</v>
      </c>
      <c r="N151" s="51">
        <f t="shared" si="190"/>
        <v>0</v>
      </c>
      <c r="O151" s="51">
        <f ca="1">-(L151+M151+N151)*IFERROR(IF(C151&lt;$F$8,IF($F$24="yes",R43/SUM(R43:$R$56),Q43/SUM(Q43:$Q$56)),IF($F$24="yes",R70/SUM(R70:$R$82),Q70/SUM(Q70:$Q$82))),0)</f>
        <v>-627391.03619315044</v>
      </c>
      <c r="P151" s="51">
        <f t="shared" ca="1" si="178"/>
        <v>5185242.1601233026</v>
      </c>
      <c r="Q151" s="124"/>
      <c r="R151" s="51">
        <f t="shared" ca="1" si="179"/>
        <v>1704934.2960368874</v>
      </c>
      <c r="S151" s="51">
        <f t="shared" si="180"/>
        <v>1576640.0392691609</v>
      </c>
      <c r="T151" s="51">
        <f t="shared" si="191"/>
        <v>0</v>
      </c>
      <c r="U151" s="51">
        <f t="shared" si="181"/>
        <v>0</v>
      </c>
      <c r="V151" s="51">
        <f t="shared" si="192"/>
        <v>-69964.955415322111</v>
      </c>
      <c r="W151" s="51">
        <f t="shared" ca="1" si="193"/>
        <v>-627391.03619315044</v>
      </c>
      <c r="X151" s="51">
        <f t="shared" ca="1" si="194"/>
        <v>0</v>
      </c>
      <c r="Y151" s="51">
        <f t="shared" ca="1" si="182"/>
        <v>2584218.3436975759</v>
      </c>
      <c r="Z151" s="51">
        <f t="shared" ca="1" si="183"/>
        <v>2584218</v>
      </c>
      <c r="AB151" s="51">
        <f t="shared" ca="1" si="184"/>
        <v>4461209.46</v>
      </c>
      <c r="AD151" s="51">
        <f t="shared" ca="1" si="185"/>
        <v>1876991.46</v>
      </c>
      <c r="AE151" s="93">
        <f t="shared" ca="1" si="186"/>
        <v>0.42073600821244561</v>
      </c>
      <c r="AG151" s="75"/>
    </row>
    <row r="152" spans="2:33" s="70" customFormat="1" outlineLevel="1" x14ac:dyDescent="0.55000000000000004">
      <c r="B152" s="1" t="s">
        <v>16</v>
      </c>
      <c r="C152" s="3">
        <v>5</v>
      </c>
      <c r="E152" s="51">
        <f t="shared" si="187"/>
        <v>-595121.95121951227</v>
      </c>
      <c r="F152" s="51">
        <f t="shared" si="188"/>
        <v>0</v>
      </c>
      <c r="G152" s="51">
        <f>-(E152+F152)*($F$26="time")*IFERROR(IF($F$27="yes",D44/SUM(D44:$D$55),1/COUNT(D44:$D$55)),0)</f>
        <v>0</v>
      </c>
      <c r="H152" s="51">
        <f>-(E152+F152)*($F$26="policies IF")*IFERROR(IF(C152&lt;$F$8,IF($F$27="yes",H44/SUM(H44:$H$55),F44/SUM(F44:$F$55)),IF($F$27="yes",H71/SUM(H71:$H$82),F71/SUM(F71:$F$82))),0)</f>
        <v>0</v>
      </c>
      <c r="I152" s="51">
        <f>-(E152+F152)*($F$26="risk")*IFERROR(IF(C152&lt;$F$8,IF($F$27="yes",R44/SUM(R44:$R$55),Q44/SUM(Q44:$Q$55)),IF($F$27="yes",R71/SUM(R71:$R$82),Q71/SUM(Q71:$Q$82))),0)</f>
        <v>66168.769508322192</v>
      </c>
      <c r="J152" s="51">
        <f t="shared" si="177"/>
        <v>-528953.18171119003</v>
      </c>
      <c r="K152" s="124"/>
      <c r="L152" s="51">
        <f t="shared" ref="L152:L163" ca="1" si="195">IF(C152=1,IF(F34="yes",-AD63-AH63,-W63-AA63),P151)</f>
        <v>5185242.1601233026</v>
      </c>
      <c r="M152" s="51">
        <f t="shared" si="189"/>
        <v>0</v>
      </c>
      <c r="N152" s="51">
        <f t="shared" si="190"/>
        <v>0</v>
      </c>
      <c r="O152" s="51">
        <f ca="1">-(L152+M152+N152)*IFERROR(IF(C152&lt;$F$8,IF($F$24="yes",R44/SUM(R44:$R$56),Q44/SUM(Q44:$Q$56)),IF($F$24="yes",R71/SUM(R71:$R$82),Q71/SUM(Q71:$Q$82))),0)</f>
        <v>-590419.59598910715</v>
      </c>
      <c r="P152" s="51">
        <f t="shared" ca="1" si="178"/>
        <v>4594822.5641341954</v>
      </c>
      <c r="Q152" s="124"/>
      <c r="R152" s="51">
        <f t="shared" ca="1" si="179"/>
        <v>2584218.3436975759</v>
      </c>
      <c r="S152" s="51">
        <f t="shared" si="180"/>
        <v>598862.14189269196</v>
      </c>
      <c r="T152" s="51">
        <f t="shared" si="191"/>
        <v>0</v>
      </c>
      <c r="U152" s="51">
        <f t="shared" si="181"/>
        <v>0</v>
      </c>
      <c r="V152" s="51">
        <f t="shared" si="192"/>
        <v>-66168.769508322192</v>
      </c>
      <c r="W152" s="51">
        <f t="shared" ca="1" si="193"/>
        <v>-590419.59598910715</v>
      </c>
      <c r="X152" s="51">
        <f t="shared" ca="1" si="194"/>
        <v>0</v>
      </c>
      <c r="Y152" s="51">
        <f t="shared" ca="1" si="182"/>
        <v>2526492.1200928385</v>
      </c>
      <c r="Z152" s="51">
        <f t="shared" ca="1" si="183"/>
        <v>2526492</v>
      </c>
      <c r="AB152" s="51">
        <f t="shared" ca="1" si="184"/>
        <v>4419232.03</v>
      </c>
      <c r="AD152" s="51">
        <f t="shared" ca="1" si="185"/>
        <v>1892740.0300000003</v>
      </c>
      <c r="AE152" s="93">
        <f t="shared" ca="1" si="186"/>
        <v>0.42829614221455581</v>
      </c>
      <c r="AG152" s="75"/>
    </row>
    <row r="153" spans="2:33" s="70" customFormat="1" outlineLevel="1" x14ac:dyDescent="0.55000000000000004">
      <c r="B153" s="1" t="s">
        <v>17</v>
      </c>
      <c r="C153" s="3">
        <v>6</v>
      </c>
      <c r="E153" s="51">
        <f t="shared" si="187"/>
        <v>-528953.18171119003</v>
      </c>
      <c r="F153" s="51">
        <f t="shared" si="188"/>
        <v>0</v>
      </c>
      <c r="G153" s="51">
        <f>-(E153+F153)*($F$26="time")*IFERROR(IF($F$27="yes",D45/SUM(D45:$D$55),1/COUNT(D45:$D$55)),0)</f>
        <v>0</v>
      </c>
      <c r="H153" s="51">
        <f>-(E153+F153)*($F$26="policies IF")*IFERROR(IF(C153&lt;$F$8,IF($F$27="yes",H45/SUM(H45:$H$55),F45/SUM(F45:$F$55)),IF($F$27="yes",H72/SUM(H72:$H$82),F72/SUM(F72:$F$82))),0)</f>
        <v>0</v>
      </c>
      <c r="I153" s="51">
        <f>-(E153+F153)*($F$26="risk")*IFERROR(IF(C153&lt;$F$8,IF($F$27="yes",R45/SUM(R45:$R$55),Q45/SUM(Q45:$Q$55)),IF($F$27="yes",R72/SUM(R72:$R$82),Q72/SUM(Q72:$Q$82))),0)</f>
        <v>62578.558540560894</v>
      </c>
      <c r="J153" s="51">
        <f t="shared" si="177"/>
        <v>-466374.62317062914</v>
      </c>
      <c r="K153" s="124"/>
      <c r="L153" s="51">
        <f t="shared" ca="1" si="195"/>
        <v>4594822.5641341954</v>
      </c>
      <c r="M153" s="51">
        <f t="shared" si="189"/>
        <v>0</v>
      </c>
      <c r="N153" s="51">
        <f t="shared" si="190"/>
        <v>0</v>
      </c>
      <c r="O153" s="51">
        <f ca="1">-(L153+M153+N153)*IFERROR(IF(C153&lt;$F$8,IF($F$24="yes",R45/SUM(R45:$R$56),Q45/SUM(Q45:$Q$56)),IF($F$24="yes",R72/SUM(R72:$R$82),Q72/SUM(Q72:$Q$82))),0)</f>
        <v>-555626.84070707869</v>
      </c>
      <c r="P153" s="51">
        <f t="shared" ca="1" si="178"/>
        <v>4039195.7234271169</v>
      </c>
      <c r="Q153" s="124"/>
      <c r="R153" s="51">
        <f t="shared" ca="1" si="179"/>
        <v>2526492.1200928385</v>
      </c>
      <c r="S153" s="51">
        <f t="shared" si="180"/>
        <v>353341.95904584404</v>
      </c>
      <c r="T153" s="51">
        <f t="shared" si="191"/>
        <v>0</v>
      </c>
      <c r="U153" s="51">
        <f t="shared" si="181"/>
        <v>0</v>
      </c>
      <c r="V153" s="51">
        <f t="shared" si="192"/>
        <v>-62578.558540560894</v>
      </c>
      <c r="W153" s="51">
        <f t="shared" ca="1" si="193"/>
        <v>-555626.84070707869</v>
      </c>
      <c r="X153" s="51">
        <f t="shared" ca="1" si="194"/>
        <v>0</v>
      </c>
      <c r="Y153" s="51">
        <f t="shared" ca="1" si="182"/>
        <v>2261628.6798910433</v>
      </c>
      <c r="Z153" s="51">
        <f t="shared" ca="1" si="183"/>
        <v>2261629</v>
      </c>
      <c r="AB153" s="51">
        <f t="shared" ca="1" si="184"/>
        <v>4165801.63</v>
      </c>
      <c r="AD153" s="51">
        <f t="shared" ca="1" si="185"/>
        <v>1904172.63</v>
      </c>
      <c r="AE153" s="93">
        <f t="shared" ca="1" si="186"/>
        <v>0.45709632842022774</v>
      </c>
      <c r="AG153" s="75"/>
    </row>
    <row r="154" spans="2:33" s="70" customFormat="1" outlineLevel="1" x14ac:dyDescent="0.55000000000000004">
      <c r="B154" s="1" t="s">
        <v>18</v>
      </c>
      <c r="C154" s="3">
        <v>7</v>
      </c>
      <c r="E154" s="51">
        <f t="shared" si="187"/>
        <v>-466374.62317062914</v>
      </c>
      <c r="F154" s="51">
        <f t="shared" si="188"/>
        <v>0</v>
      </c>
      <c r="G154" s="51">
        <f>-(E154+F154)*($F$26="time")*IFERROR(IF($F$27="yes",D46/SUM(D46:$D$55),1/COUNT(D46:$D$55)),0)</f>
        <v>0</v>
      </c>
      <c r="H154" s="51">
        <f>-(E154+F154)*($F$26="policies IF")*IFERROR(IF(C154&lt;$F$8,IF($F$27="yes",H46/SUM(H46:$H$55),F46/SUM(F46:$F$55)),IF($F$27="yes",H73/SUM(H73:$H$82),F73/SUM(F73:$F$82))),0)</f>
        <v>0</v>
      </c>
      <c r="I154" s="51">
        <f>-(E154+F154)*($F$26="risk")*IFERROR(IF(C154&lt;$F$8,IF($F$27="yes",R46/SUM(R46:$R$55),Q46/SUM(Q46:$Q$55)),IF($F$27="yes",R73/SUM(R73:$R$82),Q73/SUM(Q73:$Q$82))),0)</f>
        <v>48507.845820913666</v>
      </c>
      <c r="J154" s="51">
        <f t="shared" si="177"/>
        <v>-417866.77734971547</v>
      </c>
      <c r="K154" s="124"/>
      <c r="L154" s="51">
        <f t="shared" ca="1" si="195"/>
        <v>4039195.7234271169</v>
      </c>
      <c r="M154" s="51">
        <f t="shared" ca="1" si="189"/>
        <v>74230.785337099223</v>
      </c>
      <c r="N154" s="51">
        <f t="shared" si="190"/>
        <v>0</v>
      </c>
      <c r="O154" s="51">
        <f ca="1">-(L154+M154+N154)*IFERROR(IF(C154&lt;$F$8,IF($F$24="yes",R46/SUM(R46:$R$56),Q46/SUM(Q46:$Q$56)),IF($F$24="yes",R73/SUM(R73:$R$82),Q73/SUM(Q73:$Q$82))),0)</f>
        <v>-437050.59259238065</v>
      </c>
      <c r="P154" s="51">
        <f t="shared" ca="1" si="178"/>
        <v>3676375.9161718357</v>
      </c>
      <c r="Q154" s="124"/>
      <c r="R154" s="51">
        <f t="shared" ca="1" si="179"/>
        <v>2261628.6798910433</v>
      </c>
      <c r="S154" s="51">
        <f t="shared" si="180"/>
        <v>179227.48960220299</v>
      </c>
      <c r="T154" s="51">
        <f t="shared" si="191"/>
        <v>0</v>
      </c>
      <c r="U154" s="51">
        <f t="shared" si="181"/>
        <v>0</v>
      </c>
      <c r="V154" s="51">
        <f t="shared" si="192"/>
        <v>-48507.845820913666</v>
      </c>
      <c r="W154" s="51">
        <f t="shared" ca="1" si="193"/>
        <v>-437050.59259238065</v>
      </c>
      <c r="X154" s="51">
        <f t="shared" ca="1" si="194"/>
        <v>0</v>
      </c>
      <c r="Y154" s="51">
        <f t="shared" ca="1" si="182"/>
        <v>1955297.7310799521</v>
      </c>
      <c r="Z154" s="51">
        <f t="shared" ca="1" si="183"/>
        <v>1963274</v>
      </c>
      <c r="AB154" s="51">
        <f t="shared" ca="1" si="184"/>
        <v>3881685.63</v>
      </c>
      <c r="AD154" s="51">
        <f t="shared" ca="1" si="185"/>
        <v>1918411.63</v>
      </c>
      <c r="AE154" s="93">
        <f t="shared" ca="1" si="186"/>
        <v>0.49422127726505249</v>
      </c>
      <c r="AG154" s="75"/>
    </row>
    <row r="155" spans="2:33" s="70" customFormat="1" outlineLevel="1" x14ac:dyDescent="0.55000000000000004">
      <c r="B155" s="1" t="s">
        <v>19</v>
      </c>
      <c r="C155" s="3">
        <v>8</v>
      </c>
      <c r="E155" s="51">
        <f t="shared" si="187"/>
        <v>-417866.77734971547</v>
      </c>
      <c r="F155" s="51">
        <f t="shared" si="188"/>
        <v>0</v>
      </c>
      <c r="G155" s="51">
        <f>-(E155+F155)*($F$26="time")*IFERROR(IF($F$27="yes",D47/SUM(D47:$D$55),1/COUNT(D47:$D$55)),0)</f>
        <v>0</v>
      </c>
      <c r="H155" s="51">
        <f>-(E155+F155)*($F$26="policies IF")*IFERROR(IF(C155&lt;$F$8,IF($F$27="yes",H47/SUM(H47:$H$55),F47/SUM(F47:$F$55)),IF($F$27="yes",H74/SUM(H74:$H$82),F74/SUM(F74:$F$82))),0)</f>
        <v>0</v>
      </c>
      <c r="I155" s="51">
        <f>-(E155+F155)*($F$26="risk")*IFERROR(IF(C155&lt;$F$8,IF($F$27="yes",R47/SUM(R47:$R$55),Q47/SUM(Q47:$Q$55)),IF($F$27="yes",R74/SUM(R74:$R$82),Q74/SUM(Q74:$Q$82))),0)</f>
        <v>51469.377871849094</v>
      </c>
      <c r="J155" s="51">
        <f t="shared" si="177"/>
        <v>-366397.39947786636</v>
      </c>
      <c r="K155" s="124"/>
      <c r="L155" s="51">
        <f t="shared" ca="1" si="195"/>
        <v>3676375.9161718357</v>
      </c>
      <c r="M155" s="51">
        <f t="shared" si="189"/>
        <v>0</v>
      </c>
      <c r="N155" s="51">
        <f t="shared" si="190"/>
        <v>0</v>
      </c>
      <c r="O155" s="51">
        <f ca="1">-(L155+M155+N155)*IFERROR(IF(C155&lt;$F$8,IF($F$24="yes",R47/SUM(R47:$R$56),Q47/SUM(Q47:$Q$56)),IF($F$24="yes",R74/SUM(R74:$R$82),Q74/SUM(Q74:$Q$82))),0)</f>
        <v>-461443.57223553967</v>
      </c>
      <c r="P155" s="51">
        <f t="shared" ca="1" si="178"/>
        <v>3214932.3439362962</v>
      </c>
      <c r="Q155" s="124"/>
      <c r="R155" s="51">
        <f t="shared" ca="1" si="179"/>
        <v>1955297.7310799521</v>
      </c>
      <c r="S155" s="51">
        <f t="shared" si="180"/>
        <v>113954.73182080506</v>
      </c>
      <c r="T155" s="51">
        <f t="shared" si="191"/>
        <v>0</v>
      </c>
      <c r="U155" s="51">
        <f t="shared" si="181"/>
        <v>0</v>
      </c>
      <c r="V155" s="51">
        <f t="shared" si="192"/>
        <v>-51469.377871849094</v>
      </c>
      <c r="W155" s="51">
        <f t="shared" ca="1" si="193"/>
        <v>-461443.57223553967</v>
      </c>
      <c r="X155" s="51">
        <f t="shared" ca="1" si="194"/>
        <v>0</v>
      </c>
      <c r="Y155" s="51">
        <f t="shared" ca="1" si="182"/>
        <v>1556339.5127933682</v>
      </c>
      <c r="Z155" s="51">
        <f t="shared" ca="1" si="183"/>
        <v>1796703</v>
      </c>
      <c r="AB155" s="51">
        <f t="shared" ca="1" si="184"/>
        <v>3482649.45</v>
      </c>
      <c r="AD155" s="51">
        <f t="shared" ca="1" si="185"/>
        <v>1685946.4500000002</v>
      </c>
      <c r="AE155" s="93">
        <f t="shared" ca="1" si="186"/>
        <v>0.48409880873884681</v>
      </c>
      <c r="AG155" s="75"/>
    </row>
    <row r="156" spans="2:33" s="70" customFormat="1" outlineLevel="1" x14ac:dyDescent="0.55000000000000004">
      <c r="B156" s="1" t="s">
        <v>20</v>
      </c>
      <c r="C156" s="3">
        <v>9</v>
      </c>
      <c r="E156" s="51">
        <f t="shared" si="187"/>
        <v>-366397.39947786636</v>
      </c>
      <c r="F156" s="51">
        <f t="shared" ref="F156:F163" si="196">IF($F$27="yes",E156*((1+$F$17)^(1/4)-1),0)</f>
        <v>0</v>
      </c>
      <c r="G156" s="51">
        <f>-(E156+F156)*($F$26="time")*IFERROR(IF($F$27="yes",D48/SUM(D48:$D$55),1/COUNT(D48:$D$55)),0)</f>
        <v>0</v>
      </c>
      <c r="H156" s="51">
        <f>-(E156+F156)*($F$26="policies IF")*IFERROR(IF(C156&lt;$F$8,IF($F$27="yes",H48/SUM(H48:$H$55),F48/SUM(F48:$F$55)),IF($F$27="yes",H75/SUM(H75:$H$82),F75/SUM(F75:$F$82))),0)</f>
        <v>0</v>
      </c>
      <c r="I156" s="51">
        <f>-(E156+F156)*($F$26="risk")*IFERROR(IF(C156&lt;$F$8,IF($F$27="yes",R48/SUM(R48:$R$55),Q48/SUM(Q48:$Q$55)),IF($F$27="yes",R75/SUM(R75:$R$82),Q75/SUM(Q75:$Q$82))),0)</f>
        <v>50131.366873360283</v>
      </c>
      <c r="J156" s="51">
        <f t="shared" ref="J156:J163" si="197">SUM(E156:I156)</f>
        <v>-316266.03260450606</v>
      </c>
      <c r="K156" s="124"/>
      <c r="L156" s="51">
        <f t="shared" ca="1" si="195"/>
        <v>3214932.3439362962</v>
      </c>
      <c r="M156" s="51">
        <f t="shared" si="189"/>
        <v>0</v>
      </c>
      <c r="N156" s="51">
        <f t="shared" ref="N156:N163" si="198">IF($F$27="yes",(L156+M156)*((1+$F$17)^(1/4)-1),0)</f>
        <v>0</v>
      </c>
      <c r="O156" s="51">
        <f ca="1">-(L156+M156+N156)*IFERROR(IF(C156&lt;$F$8,IF($F$24="yes",R48/SUM(R48:$R$56),Q48/SUM(Q48:$Q$56)),IF($F$24="yes",R75/SUM(R75:$R$82),Q75/SUM(Q75:$Q$82))),0)</f>
        <v>-447228.20514156355</v>
      </c>
      <c r="P156" s="51">
        <f t="shared" ref="P156:P163" ca="1" si="199">SUM(L156:O156)</f>
        <v>2767704.1387947327</v>
      </c>
      <c r="Q156" s="124"/>
      <c r="R156" s="51">
        <f t="shared" ref="R156:R163" ca="1" si="200">IF(C156=1,0,Y155)</f>
        <v>1556339.5127933682</v>
      </c>
      <c r="S156" s="51">
        <f t="shared" si="180"/>
        <v>101100.35781684837</v>
      </c>
      <c r="T156" s="51">
        <f t="shared" si="191"/>
        <v>0</v>
      </c>
      <c r="U156" s="51">
        <f t="shared" ref="U156:U163" si="201">IF($F$27="yes",(R156+S156+T156)*((1+$F$17)^(1/4)-1),0)</f>
        <v>0</v>
      </c>
      <c r="V156" s="51">
        <f t="shared" ref="V156:V163" si="202">-SUM(G156:I156)</f>
        <v>-50131.366873360283</v>
      </c>
      <c r="W156" s="51">
        <f t="shared" ref="W156:W163" ca="1" si="203">O156</f>
        <v>-447228.20514156355</v>
      </c>
      <c r="X156" s="51">
        <f t="shared" ca="1" si="194"/>
        <v>0</v>
      </c>
      <c r="Y156" s="51">
        <f t="shared" ref="Y156:Y163" ca="1" si="204">SUM(R156:X156)</f>
        <v>1160080.298595293</v>
      </c>
      <c r="Z156" s="51">
        <f t="shared" ca="1" si="183"/>
        <v>1623968</v>
      </c>
      <c r="AB156" s="51">
        <f t="shared" ca="1" si="184"/>
        <v>3082585.97</v>
      </c>
      <c r="AD156" s="51">
        <f t="shared" ref="AD156:AD163" ca="1" si="205">ABS(Z156-AB156)</f>
        <v>1458617.9700000002</v>
      </c>
      <c r="AE156" s="93">
        <f t="shared" ref="AE156:AE163" ca="1" si="206">IFERROR(AD156/ABS(AB156),0)</f>
        <v>0.47317998076790058</v>
      </c>
      <c r="AG156" s="75"/>
    </row>
    <row r="157" spans="2:33" s="70" customFormat="1" outlineLevel="1" x14ac:dyDescent="0.55000000000000004">
      <c r="B157" s="1" t="s">
        <v>21</v>
      </c>
      <c r="C157" s="3">
        <v>10</v>
      </c>
      <c r="E157" s="51">
        <f t="shared" si="187"/>
        <v>-316266.03260450606</v>
      </c>
      <c r="F157" s="51">
        <f t="shared" si="196"/>
        <v>0</v>
      </c>
      <c r="G157" s="51">
        <f>-(E157+F157)*($F$26="time")*IFERROR(IF($F$27="yes",D49/SUM(D49:$D$55),1/COUNT(D49:$D$55)),0)</f>
        <v>0</v>
      </c>
      <c r="H157" s="51">
        <f>-(E157+F157)*($F$26="policies IF")*IFERROR(IF(C157&lt;$F$8,IF($F$27="yes",H49/SUM(H49:$H$55),F49/SUM(F49:$F$55)),IF($F$27="yes",H76/SUM(H76:$H$82),F76/SUM(F76:$F$82))),0)</f>
        <v>0</v>
      </c>
      <c r="I157" s="51">
        <f>-(E157+F157)*($F$26="risk")*IFERROR(IF(C157&lt;$F$8,IF($F$27="yes",R49/SUM(R49:$R$55),Q49/SUM(Q49:$Q$55)),IF($F$27="yes",R76/SUM(R76:$R$82),Q76/SUM(Q76:$Q$82))),0)</f>
        <v>48828.139148073933</v>
      </c>
      <c r="J157" s="51">
        <f t="shared" si="197"/>
        <v>-267437.89345643215</v>
      </c>
      <c r="K157" s="124"/>
      <c r="L157" s="51">
        <f t="shared" ca="1" si="195"/>
        <v>2767704.1387947327</v>
      </c>
      <c r="M157" s="51">
        <f t="shared" si="189"/>
        <v>0</v>
      </c>
      <c r="N157" s="51">
        <f t="shared" si="198"/>
        <v>0</v>
      </c>
      <c r="O157" s="51">
        <f ca="1">-(L157+M157+N157)*IFERROR(IF(C157&lt;$F$8,IF($F$24="yes",R49/SUM(R49:$R$56),Q49/SUM(Q49:$Q$56)),IF($F$24="yes",R76/SUM(R76:$R$82),Q76/SUM(Q76:$Q$82))),0)</f>
        <v>-433450.76084849972</v>
      </c>
      <c r="P157" s="51">
        <f t="shared" ca="1" si="199"/>
        <v>2334253.3779462329</v>
      </c>
      <c r="Q157" s="124"/>
      <c r="R157" s="51">
        <f t="shared" ca="1" si="200"/>
        <v>1160080.298595293</v>
      </c>
      <c r="S157" s="51">
        <f t="shared" si="180"/>
        <v>36077.504230091625</v>
      </c>
      <c r="T157" s="51">
        <f t="shared" si="191"/>
        <v>0</v>
      </c>
      <c r="U157" s="51">
        <f t="shared" si="201"/>
        <v>0</v>
      </c>
      <c r="V157" s="51">
        <f t="shared" si="202"/>
        <v>-48828.139148073933</v>
      </c>
      <c r="W157" s="51">
        <f t="shared" ca="1" si="203"/>
        <v>-433450.76084849972</v>
      </c>
      <c r="X157" s="51">
        <f t="shared" ca="1" si="194"/>
        <v>0</v>
      </c>
      <c r="Y157" s="51">
        <f t="shared" ca="1" si="204"/>
        <v>713878.90282881085</v>
      </c>
      <c r="Z157" s="51">
        <f t="shared" ca="1" si="183"/>
        <v>1392576</v>
      </c>
      <c r="AB157" s="51">
        <f t="shared" ca="1" si="184"/>
        <v>2628865.06</v>
      </c>
      <c r="AD157" s="51">
        <f t="shared" ca="1" si="205"/>
        <v>1236289.06</v>
      </c>
      <c r="AE157" s="93">
        <f t="shared" ca="1" si="206"/>
        <v>0.47027482650630992</v>
      </c>
      <c r="AG157" s="75"/>
    </row>
    <row r="158" spans="2:33" s="70" customFormat="1" outlineLevel="1" x14ac:dyDescent="0.55000000000000004">
      <c r="B158" s="1" t="s">
        <v>22</v>
      </c>
      <c r="C158" s="3">
        <v>11</v>
      </c>
      <c r="E158" s="51">
        <f t="shared" si="187"/>
        <v>-267437.89345643215</v>
      </c>
      <c r="F158" s="51">
        <f t="shared" si="196"/>
        <v>0</v>
      </c>
      <c r="G158" s="51">
        <f>-(E158+F158)*($F$26="time")*IFERROR(IF($F$27="yes",D50/SUM(D50:$D$55),1/COUNT(D50:$D$55)),0)</f>
        <v>0</v>
      </c>
      <c r="H158" s="51">
        <f>-(E158+F158)*($F$26="policies IF")*IFERROR(IF(C158&lt;$F$8,IF($F$27="yes",H50/SUM(H50:$H$55),F50/SUM(F50:$F$55)),IF($F$27="yes",H77/SUM(H77:$H$82),F77/SUM(F77:$F$82))),0)</f>
        <v>0</v>
      </c>
      <c r="I158" s="51">
        <f>-(E158+F158)*($F$26="risk")*IFERROR(IF(C158&lt;$F$8,IF($F$27="yes",R50/SUM(R50:$R$55),Q50/SUM(Q50:$Q$55)),IF($F$27="yes",R77/SUM(R77:$R$82),Q77/SUM(Q77:$Q$82))),0)</f>
        <v>47558.7904611997</v>
      </c>
      <c r="J158" s="51">
        <f t="shared" si="197"/>
        <v>-219879.10299523245</v>
      </c>
      <c r="K158" s="124"/>
      <c r="L158" s="51">
        <f t="shared" ca="1" si="195"/>
        <v>2334253.3779462329</v>
      </c>
      <c r="M158" s="51">
        <f t="shared" si="189"/>
        <v>0</v>
      </c>
      <c r="N158" s="51">
        <f t="shared" si="198"/>
        <v>0</v>
      </c>
      <c r="O158" s="51">
        <f ca="1">-(L158+M158+N158)*IFERROR(IF(C158&lt;$F$8,IF($F$24="yes",R50/SUM(R50:$R$56),Q50/SUM(Q50:$Q$56)),IF($F$24="yes",R77/SUM(R77:$R$82),Q77/SUM(Q77:$Q$82))),0)</f>
        <v>-420097.74857708887</v>
      </c>
      <c r="P158" s="51">
        <f t="shared" ca="1" si="199"/>
        <v>1914155.6293691441</v>
      </c>
      <c r="Q158" s="124"/>
      <c r="R158" s="51">
        <f t="shared" ca="1" si="200"/>
        <v>713878.90282881085</v>
      </c>
      <c r="S158" s="51">
        <f t="shared" si="180"/>
        <v>42027.28098525347</v>
      </c>
      <c r="T158" s="51">
        <f t="shared" si="191"/>
        <v>0</v>
      </c>
      <c r="U158" s="51">
        <f t="shared" si="201"/>
        <v>0</v>
      </c>
      <c r="V158" s="51">
        <f t="shared" si="202"/>
        <v>-47558.7904611997</v>
      </c>
      <c r="W158" s="51">
        <f t="shared" ca="1" si="203"/>
        <v>-420097.74857708887</v>
      </c>
      <c r="X158" s="51">
        <f t="shared" ca="1" si="194"/>
        <v>0</v>
      </c>
      <c r="Y158" s="51">
        <f t="shared" ca="1" si="204"/>
        <v>288249.64477577579</v>
      </c>
      <c r="Z158" s="51">
        <f t="shared" ca="1" si="183"/>
        <v>1173357</v>
      </c>
      <c r="AB158" s="51">
        <f t="shared" ca="1" si="184"/>
        <v>2192181.66</v>
      </c>
      <c r="AD158" s="51">
        <f t="shared" ca="1" si="205"/>
        <v>1018824.6600000001</v>
      </c>
      <c r="AE158" s="93">
        <f t="shared" ca="1" si="206"/>
        <v>0.4647537558543392</v>
      </c>
      <c r="AG158" s="75"/>
    </row>
    <row r="159" spans="2:33" s="70" customFormat="1" outlineLevel="1" x14ac:dyDescent="0.55000000000000004">
      <c r="B159" s="1" t="s">
        <v>23</v>
      </c>
      <c r="C159" s="3">
        <v>12</v>
      </c>
      <c r="E159" s="51">
        <f t="shared" si="187"/>
        <v>-219879.10299523245</v>
      </c>
      <c r="F159" s="51">
        <f t="shared" si="196"/>
        <v>0</v>
      </c>
      <c r="G159" s="51">
        <f>-(E159+F159)*($F$26="time")*IFERROR(IF($F$27="yes",D51/SUM(D51:$D$55),1/COUNT(D51:$D$55)),0)</f>
        <v>0</v>
      </c>
      <c r="H159" s="51">
        <f>-(E159+F159)*($F$26="policies IF")*IFERROR(IF(C159&lt;$F$8,IF($F$27="yes",H51/SUM(H51:$H$55),F51/SUM(F51:$F$55)),IF($F$27="yes",H78/SUM(H78:$H$82),F78/SUM(F78:$F$82))),0)</f>
        <v>0</v>
      </c>
      <c r="I159" s="51">
        <f>-(E159+F159)*($F$26="risk")*IFERROR(IF(C159&lt;$F$8,IF($F$27="yes",R51/SUM(R51:$R$55),Q51/SUM(Q51:$Q$55)),IF($F$27="yes",R78/SUM(R78:$R$82),Q78/SUM(Q78:$Q$82))),0)</f>
        <v>46322.44008466418</v>
      </c>
      <c r="J159" s="51">
        <f t="shared" si="197"/>
        <v>-173556.66291056827</v>
      </c>
      <c r="K159" s="124"/>
      <c r="L159" s="51">
        <f t="shared" ca="1" si="195"/>
        <v>1914155.6293691441</v>
      </c>
      <c r="M159" s="51">
        <f t="shared" si="189"/>
        <v>0</v>
      </c>
      <c r="N159" s="51">
        <f t="shared" si="198"/>
        <v>0</v>
      </c>
      <c r="O159" s="51">
        <f ca="1">-(L159+M159+N159)*IFERROR(IF(C159&lt;$F$8,IF($F$24="yes",R51/SUM(R51:$R$56),Q51/SUM(Q51:$Q$56)),IF($F$24="yes",R78/SUM(R78:$R$82),Q78/SUM(Q78:$Q$82))),0)</f>
        <v>-407156.09314900549</v>
      </c>
      <c r="P159" s="51">
        <f t="shared" ca="1" si="199"/>
        <v>1506999.5362201387</v>
      </c>
      <c r="Q159" s="124"/>
      <c r="R159" s="51">
        <f t="shared" ca="1" si="200"/>
        <v>288249.64477577579</v>
      </c>
      <c r="S159" s="51">
        <f t="shared" si="180"/>
        <v>45785.087588599774</v>
      </c>
      <c r="T159" s="51">
        <f t="shared" si="191"/>
        <v>0</v>
      </c>
      <c r="U159" s="51">
        <f t="shared" si="201"/>
        <v>0</v>
      </c>
      <c r="V159" s="51">
        <f t="shared" si="202"/>
        <v>-46322.44008466418</v>
      </c>
      <c r="W159" s="51">
        <f t="shared" ca="1" si="203"/>
        <v>-407156.09314900549</v>
      </c>
      <c r="X159" s="51">
        <f t="shared" ca="1" si="194"/>
        <v>0</v>
      </c>
      <c r="Y159" s="51">
        <f t="shared" ca="1" si="204"/>
        <v>-119443.80086929415</v>
      </c>
      <c r="Z159" s="51">
        <f t="shared" ca="1" si="183"/>
        <v>963975</v>
      </c>
      <c r="AB159" s="51">
        <f t="shared" ca="1" si="184"/>
        <v>1770068.11</v>
      </c>
      <c r="AD159" s="51">
        <f t="shared" ca="1" si="205"/>
        <v>806093.1100000001</v>
      </c>
      <c r="AE159" s="93">
        <f t="shared" ca="1" si="206"/>
        <v>0.45540231217430388</v>
      </c>
      <c r="AG159" s="75"/>
    </row>
    <row r="160" spans="2:33" s="70" customFormat="1" outlineLevel="1" x14ac:dyDescent="0.55000000000000004">
      <c r="B160" s="1" t="s">
        <v>24</v>
      </c>
      <c r="C160" s="3">
        <v>13</v>
      </c>
      <c r="E160" s="51">
        <f t="shared" si="187"/>
        <v>-173556.66291056827</v>
      </c>
      <c r="F160" s="51">
        <f t="shared" si="196"/>
        <v>0</v>
      </c>
      <c r="G160" s="51">
        <f>-(E160+F160)*($F$26="time")*IFERROR(IF($F$27="yes",D52/SUM(D52:$D$55),1/COUNT(D52:$D$55)),0)</f>
        <v>0</v>
      </c>
      <c r="H160" s="51">
        <f>-(E160+F160)*($F$26="policies IF")*IFERROR(IF(C160&lt;$F$8,IF($F$27="yes",H52/SUM(H52:$H$55),F52/SUM(F52:$F$55)),IF($F$27="yes",H79/SUM(H79:$H$82),F79/SUM(F79:$F$82))),0)</f>
        <v>0</v>
      </c>
      <c r="I160" s="51">
        <f>-(E160+F160)*($F$26="risk")*IFERROR(IF(C160&lt;$F$8,IF($F$27="yes",R52/SUM(R52:$R$55),Q52/SUM(Q52:$Q$55)),IF($F$27="yes",R79/SUM(R79:$R$82),Q79/SUM(Q79:$Q$82))),0)</f>
        <v>45118.230186024251</v>
      </c>
      <c r="J160" s="51">
        <f t="shared" si="197"/>
        <v>-128438.43272454402</v>
      </c>
      <c r="K160" s="124"/>
      <c r="L160" s="51">
        <f t="shared" ca="1" si="195"/>
        <v>1506999.5362201387</v>
      </c>
      <c r="M160" s="51">
        <f t="shared" si="189"/>
        <v>0</v>
      </c>
      <c r="N160" s="51">
        <f t="shared" si="198"/>
        <v>0</v>
      </c>
      <c r="O160" s="51">
        <f ca="1">-(L160+M160+N160)*IFERROR(IF(C160&lt;$F$8,IF($F$24="yes",R52/SUM(R52:$R$56),Q52/SUM(Q52:$Q$56)),IF($F$24="yes",R79/SUM(R79:$R$82),Q79/SUM(Q79:$Q$82))),0)</f>
        <v>-394613.12218373228</v>
      </c>
      <c r="P160" s="51">
        <f t="shared" ca="1" si="199"/>
        <v>1112386.4140364064</v>
      </c>
      <c r="Q160" s="124"/>
      <c r="R160" s="51">
        <f t="shared" ca="1" si="200"/>
        <v>-119443.80086929415</v>
      </c>
      <c r="S160" s="51">
        <f t="shared" si="180"/>
        <v>0</v>
      </c>
      <c r="T160" s="51">
        <f t="shared" si="191"/>
        <v>0</v>
      </c>
      <c r="U160" s="51">
        <f t="shared" si="201"/>
        <v>0</v>
      </c>
      <c r="V160" s="51">
        <f t="shared" si="202"/>
        <v>-45118.230186024251</v>
      </c>
      <c r="W160" s="51">
        <f t="shared" ca="1" si="203"/>
        <v>-394613.12218373228</v>
      </c>
      <c r="X160" s="51">
        <f t="shared" ca="1" si="194"/>
        <v>0</v>
      </c>
      <c r="Y160" s="51">
        <f t="shared" ca="1" si="204"/>
        <v>-559175.15323905065</v>
      </c>
      <c r="Z160" s="51">
        <f t="shared" ca="1" si="183"/>
        <v>714622</v>
      </c>
      <c r="AB160" s="51">
        <f t="shared" ca="1" si="184"/>
        <v>1312589.71</v>
      </c>
      <c r="AD160" s="51">
        <f t="shared" ca="1" si="205"/>
        <v>597967.71</v>
      </c>
      <c r="AE160" s="93">
        <f t="shared" ca="1" si="206"/>
        <v>0.45556330774526638</v>
      </c>
      <c r="AG160" s="75"/>
    </row>
    <row r="161" spans="2:33" s="70" customFormat="1" outlineLevel="1" x14ac:dyDescent="0.55000000000000004">
      <c r="B161" s="1" t="s">
        <v>25</v>
      </c>
      <c r="C161" s="3">
        <v>14</v>
      </c>
      <c r="E161" s="51">
        <f t="shared" si="187"/>
        <v>-128438.43272454402</v>
      </c>
      <c r="F161" s="51">
        <f t="shared" si="196"/>
        <v>0</v>
      </c>
      <c r="G161" s="51">
        <f>-(E161+F161)*($F$26="time")*IFERROR(IF($F$27="yes",D53/SUM(D53:$D$55),1/COUNT(D53:$D$55)),0)</f>
        <v>0</v>
      </c>
      <c r="H161" s="51">
        <f>-(E161+F161)*($F$26="policies IF")*IFERROR(IF(C161&lt;$F$8,IF($F$27="yes",H53/SUM(H53:$H$55),F53/SUM(F53:$F$55)),IF($F$27="yes",H80/SUM(H80:$H$82),F80/SUM(F80:$F$82))),0)</f>
        <v>0</v>
      </c>
      <c r="I161" s="51">
        <f>-(E161+F161)*($F$26="risk")*IFERROR(IF(C161&lt;$F$8,IF($F$27="yes",R53/SUM(R53:$R$55),Q53/SUM(Q53:$Q$55)),IF($F$27="yes",R80/SUM(R80:$R$82),Q80/SUM(Q80:$Q$82))),0)</f>
        <v>43945.325233266529</v>
      </c>
      <c r="J161" s="51">
        <f t="shared" si="197"/>
        <v>-84493.107491277493</v>
      </c>
      <c r="K161" s="124"/>
      <c r="L161" s="51">
        <f t="shared" ca="1" si="195"/>
        <v>1112386.4140364064</v>
      </c>
      <c r="M161" s="51">
        <f t="shared" si="189"/>
        <v>0</v>
      </c>
      <c r="N161" s="51">
        <f t="shared" si="198"/>
        <v>0</v>
      </c>
      <c r="O161" s="51">
        <f ca="1">-(L161+M161+N161)*IFERROR(IF(C161&lt;$F$8,IF($F$24="yes",R53/SUM(R53:$R$56),Q53/SUM(Q53:$Q$56)),IF($F$24="yes",R80/SUM(R80:$R$82),Q80/SUM(Q80:$Q$82))),0)</f>
        <v>-382456.55368985259</v>
      </c>
      <c r="P161" s="51">
        <f t="shared" ca="1" si="199"/>
        <v>729929.86034655385</v>
      </c>
      <c r="Q161" s="124"/>
      <c r="R161" s="51">
        <f t="shared" ca="1" si="200"/>
        <v>-559175.15323905065</v>
      </c>
      <c r="S161" s="51">
        <f t="shared" si="180"/>
        <v>0</v>
      </c>
      <c r="T161" s="51">
        <f t="shared" si="191"/>
        <v>0</v>
      </c>
      <c r="U161" s="51">
        <f t="shared" si="201"/>
        <v>0</v>
      </c>
      <c r="V161" s="51">
        <f t="shared" si="202"/>
        <v>-43945.325233266529</v>
      </c>
      <c r="W161" s="51">
        <f t="shared" ca="1" si="203"/>
        <v>-382456.55368985259</v>
      </c>
      <c r="X161" s="51">
        <f t="shared" ca="1" si="194"/>
        <v>0</v>
      </c>
      <c r="Y161" s="51">
        <f t="shared" ca="1" si="204"/>
        <v>-985577.03216216981</v>
      </c>
      <c r="Z161" s="51">
        <f t="shared" ca="1" si="183"/>
        <v>470936</v>
      </c>
      <c r="AB161" s="51">
        <f t="shared" ca="1" si="184"/>
        <v>865260.53</v>
      </c>
      <c r="AD161" s="51">
        <f t="shared" ca="1" si="205"/>
        <v>394324.53</v>
      </c>
      <c r="AE161" s="93">
        <f t="shared" ca="1" si="206"/>
        <v>0.45572924723608971</v>
      </c>
      <c r="AG161" s="75"/>
    </row>
    <row r="162" spans="2:33" s="70" customFormat="1" outlineLevel="1" x14ac:dyDescent="0.55000000000000004">
      <c r="B162" s="1" t="s">
        <v>26</v>
      </c>
      <c r="C162" s="3">
        <v>15</v>
      </c>
      <c r="E162" s="51">
        <f t="shared" si="187"/>
        <v>-84493.107491277493</v>
      </c>
      <c r="F162" s="51">
        <f t="shared" si="196"/>
        <v>0</v>
      </c>
      <c r="G162" s="51">
        <f>-(E162+F162)*($F$26="time")*IFERROR(IF($F$27="yes",D54/SUM(D54:$D$55),1/COUNT(D54:$D$55)),0)</f>
        <v>0</v>
      </c>
      <c r="H162" s="51">
        <f>-(E162+F162)*($F$26="policies IF")*IFERROR(IF(C162&lt;$F$8,IF($F$27="yes",H54/SUM(H54:$H$55),F54/SUM(F54:$F$55)),IF($F$27="yes",H81/SUM(H81:$H$82),F81/SUM(F81:$F$82))),0)</f>
        <v>0</v>
      </c>
      <c r="I162" s="51">
        <f>-(E162+F162)*($F$26="risk")*IFERROR(IF(C162&lt;$F$8,IF($F$27="yes",R54/SUM(R54:$R$55),Q54/SUM(Q54:$Q$55)),IF($F$27="yes",R81/SUM(R81:$R$82),Q81/SUM(Q81:$Q$82))),0)</f>
        <v>42802.911415079732</v>
      </c>
      <c r="J162" s="51">
        <f t="shared" si="197"/>
        <v>-41690.196076197761</v>
      </c>
      <c r="K162" s="124"/>
      <c r="L162" s="51">
        <f t="shared" ca="1" si="195"/>
        <v>729929.86034655385</v>
      </c>
      <c r="M162" s="51">
        <f t="shared" si="189"/>
        <v>0</v>
      </c>
      <c r="N162" s="51">
        <f t="shared" si="198"/>
        <v>0</v>
      </c>
      <c r="O162" s="51">
        <f ca="1">-(L162+M162+N162)*IFERROR(IF(C162&lt;$F$8,IF($F$24="yes",R54/SUM(R54:$R$56),Q54/SUM(Q54:$Q$56)),IF($F$24="yes",R81/SUM(R81:$R$82),Q81/SUM(Q81:$Q$82))),0)</f>
        <v>-370674.4840386078</v>
      </c>
      <c r="P162" s="51">
        <f t="shared" ca="1" si="199"/>
        <v>359255.37630794605</v>
      </c>
      <c r="Q162" s="124"/>
      <c r="R162" s="51">
        <f t="shared" ca="1" si="200"/>
        <v>-985577.03216216981</v>
      </c>
      <c r="S162" s="51">
        <f t="shared" si="180"/>
        <v>0</v>
      </c>
      <c r="T162" s="51">
        <f t="shared" si="191"/>
        <v>0</v>
      </c>
      <c r="U162" s="51">
        <f t="shared" si="201"/>
        <v>0</v>
      </c>
      <c r="V162" s="51">
        <f t="shared" si="202"/>
        <v>-42802.911415079732</v>
      </c>
      <c r="W162" s="51">
        <f t="shared" ca="1" si="203"/>
        <v>-370674.4840386078</v>
      </c>
      <c r="X162" s="51">
        <f t="shared" ca="1" si="194"/>
        <v>0</v>
      </c>
      <c r="Y162" s="51">
        <f t="shared" ca="1" si="204"/>
        <v>-1399054.4276158572</v>
      </c>
      <c r="Z162" s="51">
        <f t="shared" ca="1" si="183"/>
        <v>232776</v>
      </c>
      <c r="AB162" s="51">
        <f t="shared" ca="1" si="184"/>
        <v>427816.44</v>
      </c>
      <c r="AD162" s="51">
        <f t="shared" ca="1" si="205"/>
        <v>195040.44</v>
      </c>
      <c r="AE162" s="93">
        <f t="shared" ca="1" si="206"/>
        <v>0.45589748724943813</v>
      </c>
      <c r="AG162" s="75"/>
    </row>
    <row r="163" spans="2:33" s="70" customFormat="1" outlineLevel="1" x14ac:dyDescent="0.55000000000000004">
      <c r="B163" s="1" t="s">
        <v>27</v>
      </c>
      <c r="C163" s="3">
        <v>16</v>
      </c>
      <c r="E163" s="51">
        <f t="shared" si="187"/>
        <v>-41690.196076197761</v>
      </c>
      <c r="F163" s="51">
        <f t="shared" si="196"/>
        <v>0</v>
      </c>
      <c r="G163" s="51">
        <f>-(E163+F163)*($F$26="time")*IFERROR(IF($F$27="yes",D55/SUM(D55:$D$55),1/COUNT(D55:$D$55)),0)</f>
        <v>0</v>
      </c>
      <c r="H163" s="51">
        <f>-(E163+F163)*($F$26="policies IF")*IFERROR(IF(C163&lt;$F$8,IF($F$27="yes",H55/SUM(H55:$H$55),F55/SUM(F55:$F$55)),IF($F$27="yes",H82/SUM(H82:$H$82),F82/SUM(F82:$F$82))),0)</f>
        <v>0</v>
      </c>
      <c r="I163" s="51">
        <f>-(E163+F163)*($F$26="risk")*IFERROR(IF(C163&lt;$F$8,IF($F$27="yes",R55/SUM(R55:$R$55),Q55/SUM(Q55:$Q$55)),IF($F$27="yes",R82/SUM(R82:$R$82),Q82/SUM(Q82:$Q$82))),0)</f>
        <v>41690.196076197761</v>
      </c>
      <c r="J163" s="51">
        <f t="shared" si="197"/>
        <v>0</v>
      </c>
      <c r="K163" s="124"/>
      <c r="L163" s="51">
        <f t="shared" ca="1" si="195"/>
        <v>359255.37630794605</v>
      </c>
      <c r="M163" s="51">
        <f t="shared" si="189"/>
        <v>0</v>
      </c>
      <c r="N163" s="51">
        <f t="shared" si="198"/>
        <v>0</v>
      </c>
      <c r="O163" s="51">
        <f ca="1">-(L163+M163+N163)*IFERROR(IF(C163&lt;$F$8,IF($F$24="yes",R55/SUM(R55:$R$56),Q55/SUM(Q55:$Q$56)),IF($F$24="yes",R82/SUM(R82:$R$82),Q82/SUM(Q82:$Q$82))),0)</f>
        <v>-359255.37630794605</v>
      </c>
      <c r="P163" s="51">
        <f t="shared" ca="1" si="199"/>
        <v>0</v>
      </c>
      <c r="Q163" s="124"/>
      <c r="R163" s="51">
        <f t="shared" ca="1" si="200"/>
        <v>-1399054.4276158572</v>
      </c>
      <c r="S163" s="51">
        <f t="shared" si="180"/>
        <v>0</v>
      </c>
      <c r="T163" s="51">
        <f t="shared" si="191"/>
        <v>0</v>
      </c>
      <c r="U163" s="51">
        <f t="shared" si="201"/>
        <v>0</v>
      </c>
      <c r="V163" s="51">
        <f t="shared" si="202"/>
        <v>-41690.196076197761</v>
      </c>
      <c r="W163" s="51">
        <f t="shared" ca="1" si="203"/>
        <v>-359255.37630794605</v>
      </c>
      <c r="X163" s="51">
        <f t="shared" ca="1" si="194"/>
        <v>0</v>
      </c>
      <c r="Y163" s="51">
        <f t="shared" ca="1" si="204"/>
        <v>-1800000.0000000009</v>
      </c>
      <c r="Z163" s="51">
        <f t="shared" ca="1" si="183"/>
        <v>0</v>
      </c>
      <c r="AB163" s="51">
        <f t="shared" ca="1" si="184"/>
        <v>0</v>
      </c>
      <c r="AD163" s="51">
        <f t="shared" ca="1" si="205"/>
        <v>0</v>
      </c>
      <c r="AE163" s="93">
        <f t="shared" ca="1" si="206"/>
        <v>0</v>
      </c>
      <c r="AG163" s="75"/>
    </row>
    <row r="164" spans="2:33" s="70" customFormat="1" outlineLevel="1" x14ac:dyDescent="0.55000000000000004">
      <c r="B164" s="121"/>
      <c r="C164" s="71"/>
      <c r="E164" s="71"/>
      <c r="F164" s="71"/>
      <c r="G164" s="71"/>
      <c r="H164" s="71"/>
      <c r="I164" s="71"/>
      <c r="J164" s="71"/>
      <c r="L164" s="77"/>
      <c r="M164" s="77"/>
      <c r="N164" s="77"/>
      <c r="O164" s="77"/>
      <c r="P164" s="77"/>
      <c r="Q164" s="55"/>
      <c r="R164" s="67"/>
      <c r="S164" s="67"/>
      <c r="T164" s="67"/>
      <c r="U164" s="67"/>
      <c r="V164" s="67"/>
      <c r="W164" s="67"/>
      <c r="X164" s="67"/>
      <c r="Y164" s="67"/>
      <c r="Z164" s="67"/>
      <c r="AB164" s="122"/>
      <c r="AD164" s="67"/>
      <c r="AE164" s="69"/>
      <c r="AG164" s="75"/>
    </row>
    <row r="165" spans="2:33" s="70" customFormat="1" outlineLevel="1" x14ac:dyDescent="0.55000000000000004">
      <c r="B165" s="51"/>
      <c r="C165" s="51"/>
      <c r="I165" s="51"/>
      <c r="L165" s="51"/>
      <c r="M165" s="51"/>
      <c r="N165" s="51"/>
      <c r="O165" s="51"/>
      <c r="Q165" s="51"/>
      <c r="R165" s="51"/>
      <c r="S165" s="51"/>
      <c r="T165" s="51"/>
      <c r="U165" s="51"/>
      <c r="V165" s="51"/>
      <c r="W165" s="51"/>
      <c r="X165" s="51"/>
      <c r="Y165" s="51"/>
      <c r="Z165" s="51"/>
      <c r="AB165" s="55"/>
      <c r="AD165" s="51"/>
      <c r="AE165" s="55"/>
      <c r="AG165" s="75"/>
    </row>
    <row r="166" spans="2:33" s="70" customFormat="1" outlineLevel="1" x14ac:dyDescent="0.55000000000000004">
      <c r="B166" s="52"/>
      <c r="C166" s="52"/>
      <c r="F166" s="52">
        <f t="shared" ref="F166:O166" si="207">SUM(F148:F163)</f>
        <v>0</v>
      </c>
      <c r="G166" s="52">
        <f t="shared" si="207"/>
        <v>0</v>
      </c>
      <c r="H166" s="52">
        <f t="shared" si="207"/>
        <v>0</v>
      </c>
      <c r="I166" s="52">
        <f t="shared" si="207"/>
        <v>900000</v>
      </c>
      <c r="J166" s="52"/>
      <c r="K166" s="52"/>
      <c r="L166" s="52"/>
      <c r="M166" s="52">
        <f t="shared" ca="1" si="207"/>
        <v>74230.785337099223</v>
      </c>
      <c r="N166" s="52">
        <f t="shared" si="207"/>
        <v>0</v>
      </c>
      <c r="O166" s="52">
        <f t="shared" ca="1" si="207"/>
        <v>-8014750.7766674068</v>
      </c>
      <c r="P166" s="52"/>
      <c r="Q166" s="52"/>
      <c r="R166" s="52"/>
      <c r="S166" s="52">
        <f t="shared" ref="S166:X166" si="208">SUM(S148:S163)</f>
        <v>8014750.776667404</v>
      </c>
      <c r="T166" s="52">
        <f t="shared" si="208"/>
        <v>-900000</v>
      </c>
      <c r="U166" s="52">
        <f t="shared" si="208"/>
        <v>0</v>
      </c>
      <c r="V166" s="52">
        <f t="shared" si="208"/>
        <v>-900000</v>
      </c>
      <c r="W166" s="52">
        <f t="shared" ca="1" si="208"/>
        <v>-8014750.7766674068</v>
      </c>
      <c r="X166" s="52">
        <f t="shared" ca="1" si="208"/>
        <v>0</v>
      </c>
      <c r="Y166" s="52"/>
      <c r="Z166" s="52"/>
      <c r="AC166" s="123" t="s">
        <v>152</v>
      </c>
      <c r="AD166" s="52">
        <f ca="1">AVERAGE(AD148:AD163)</f>
        <v>1281352.7418750001</v>
      </c>
      <c r="AE166" s="74">
        <f ca="1">AVERAGE(AE148:AE163)</f>
        <v>0.48007175407590735</v>
      </c>
      <c r="AG166" s="75"/>
    </row>
    <row r="167" spans="2:33" s="70" customFormat="1" x14ac:dyDescent="0.55000000000000004">
      <c r="B167" s="51"/>
      <c r="C167" s="51"/>
      <c r="D167" s="51"/>
      <c r="E167" s="51"/>
      <c r="F167" s="51"/>
      <c r="G167" s="51"/>
      <c r="H167" s="51"/>
      <c r="I167" s="51"/>
      <c r="J167" s="51"/>
      <c r="K167" s="51"/>
      <c r="L167" s="51"/>
      <c r="M167" s="52"/>
      <c r="N167" s="52"/>
      <c r="O167" s="52"/>
      <c r="P167" s="52"/>
      <c r="Q167" s="52"/>
      <c r="R167" s="52"/>
      <c r="S167" s="52"/>
      <c r="T167" s="52"/>
      <c r="U167" s="52"/>
      <c r="V167" s="51"/>
      <c r="AG167" s="75"/>
    </row>
    <row r="168" spans="2:33" s="70" customFormat="1" x14ac:dyDescent="0.55000000000000004">
      <c r="B168" s="51"/>
      <c r="C168" s="51"/>
      <c r="D168" s="51"/>
      <c r="E168" s="51"/>
      <c r="F168" s="51"/>
      <c r="G168" s="51"/>
      <c r="H168" s="51"/>
      <c r="I168" s="51"/>
      <c r="J168" s="51"/>
      <c r="K168" s="51"/>
      <c r="L168" s="51"/>
      <c r="M168" s="52"/>
      <c r="N168" s="52"/>
      <c r="O168" s="52"/>
      <c r="P168" s="52"/>
      <c r="Q168" s="52"/>
      <c r="R168" s="52"/>
      <c r="S168" s="52"/>
      <c r="T168" s="52"/>
      <c r="U168" s="52"/>
      <c r="V168" s="51"/>
      <c r="AG168" s="75"/>
    </row>
    <row r="169" spans="2:33" x14ac:dyDescent="0.55000000000000004">
      <c r="D169" s="51"/>
    </row>
    <row r="170" spans="2:33" x14ac:dyDescent="0.55000000000000004">
      <c r="D170" s="55"/>
    </row>
    <row r="171" spans="2:33" x14ac:dyDescent="0.55000000000000004">
      <c r="D171" s="51"/>
    </row>
    <row r="172" spans="2:33" x14ac:dyDescent="0.55000000000000004">
      <c r="D172" s="51"/>
    </row>
    <row r="173" spans="2:33" x14ac:dyDescent="0.55000000000000004">
      <c r="D173" s="51"/>
      <c r="E173" s="55"/>
      <c r="F173" s="55"/>
      <c r="G173" s="55"/>
      <c r="H173" s="70"/>
      <c r="I173" s="70"/>
      <c r="J173" s="70"/>
      <c r="K173" s="70"/>
    </row>
  </sheetData>
  <sheetProtection algorithmName="SHA-512" hashValue="ezVgRv4M7HLwTTP2967mo0OZoSDJFS/u2t6NPOxUvOJ1rk2v2eS0Mo+8Mh5Fp8GtChXln53oI1HMB4XgkfeEZw==" saltValue="248rAjY2Yp3s1KIKfEpWUw==" spinCount="100000" sheet="1" objects="1" scenarios="1"/>
  <protectedRanges>
    <protectedRange sqref="J67:J82 O67:O82 T67:T82" name="Range8"/>
    <protectedRange sqref="F21:F29" name="Range6"/>
    <protectedRange sqref="G14" name="Range4"/>
    <protectedRange sqref="F11:F14" name="Range2"/>
    <protectedRange sqref="F8" name="Range1"/>
    <protectedRange sqref="G11:G12" name="Range3"/>
    <protectedRange sqref="F17:G19" name="Range5"/>
    <protectedRange sqref="J40:J55 O40:O55 T40:T55" name="Range7"/>
  </protectedRanges>
  <mergeCells count="39">
    <mergeCell ref="B144:C144"/>
    <mergeCell ref="E144:J144"/>
    <mergeCell ref="L144:P144"/>
    <mergeCell ref="R144:Z144"/>
    <mergeCell ref="AD144:AE144"/>
    <mergeCell ref="B117:C117"/>
    <mergeCell ref="E117:M117"/>
    <mergeCell ref="O117:U117"/>
    <mergeCell ref="W117:AE117"/>
    <mergeCell ref="AG117:AO117"/>
    <mergeCell ref="AQ63:AS63"/>
    <mergeCell ref="B90:D90"/>
    <mergeCell ref="F90:H90"/>
    <mergeCell ref="J90:M90"/>
    <mergeCell ref="O90:R90"/>
    <mergeCell ref="W90:AB90"/>
    <mergeCell ref="AD90:AI90"/>
    <mergeCell ref="AK90:AL90"/>
    <mergeCell ref="AN90:AO90"/>
    <mergeCell ref="AQ90:AS90"/>
    <mergeCell ref="B63:D63"/>
    <mergeCell ref="F63:H63"/>
    <mergeCell ref="J63:M63"/>
    <mergeCell ref="O63:R63"/>
    <mergeCell ref="W63:AB63"/>
    <mergeCell ref="T63:U63"/>
    <mergeCell ref="B36:D36"/>
    <mergeCell ref="F36:H36"/>
    <mergeCell ref="J36:M36"/>
    <mergeCell ref="O36:R36"/>
    <mergeCell ref="W36:AB36"/>
    <mergeCell ref="T36:U36"/>
    <mergeCell ref="T90:U90"/>
    <mergeCell ref="AK36:AL36"/>
    <mergeCell ref="AN36:AO36"/>
    <mergeCell ref="AD63:AI63"/>
    <mergeCell ref="AK63:AL63"/>
    <mergeCell ref="AN63:AO63"/>
    <mergeCell ref="AD36:AI36"/>
  </mergeCells>
  <phoneticPr fontId="23" type="noConversion"/>
  <dataValidations count="14">
    <dataValidation type="decimal" operator="greaterThanOrEqual" allowBlank="1" showInputMessage="1" showErrorMessage="1" error="Claims ratio cannot be negative" sqref="F11:G11" xr:uid="{15641793-9744-418E-BC9C-4A23CE53B8B6}">
      <formula1>0</formula1>
    </dataValidation>
    <dataValidation type="list" allowBlank="1" showInputMessage="1" showErrorMessage="1" sqref="F8" xr:uid="{5B8C486B-3AA5-494D-A952-88E859952350}">
      <formula1>$C$40:$C$55</formula1>
    </dataValidation>
    <dataValidation type="decimal" allowBlank="1" showInputMessage="1" showErrorMessage="1" error="Lapsre ratio should be between 0 and 100%" sqref="F19:G19" xr:uid="{864415B3-7E5C-4E12-A333-1CAC80826614}">
      <formula1>0</formula1>
      <formula2>1</formula2>
    </dataValidation>
    <dataValidation type="list" operator="greaterThanOrEqual" allowBlank="1" showInputMessage="1" showErrorMessage="1" error="Discount rate cannot be negative" sqref="F26" xr:uid="{A20F23CB-5507-4493-931D-6CEB96387D20}">
      <formula1>"time, policies IF, risk, immediate"</formula1>
    </dataValidation>
    <dataValidation type="list" operator="greaterThanOrEqual" allowBlank="1" showInputMessage="1" showErrorMessage="1" error="Discount rate cannot be negative" sqref="F23:F25 F27 F29" xr:uid="{4167310E-EF3C-490F-93C1-6460DE503E6E}">
      <formula1>"yes, no"</formula1>
    </dataValidation>
    <dataValidation type="decimal" operator="greaterThan" allowBlank="1" showInputMessage="1" showErrorMessage="1" error="Coverage units have to be greater than zero" sqref="O67:O82 O94:O109 O40:O55 J40:M55 J67:M82 J94:M109 T40:T60 T94:T109" xr:uid="{3E86C051-7F97-4B02-823B-FA4E6E11AB8A}">
      <formula1>0</formula1>
    </dataValidation>
    <dataValidation type="decimal" operator="greaterThan" allowBlank="1" showInputMessage="1" showErrorMessage="1" error="Risk distribution weights have to be greater than zero" sqref="P40:Q55 P67:Q82 P94:Q109 U40:U60 U67:U87 U94:U109" xr:uid="{06B9E000-CE3D-4F27-B4CF-3CCA857DA134}">
      <formula1>0</formula1>
    </dataValidation>
    <dataValidation type="decimal" operator="greaterThanOrEqual" allowBlank="1" showInputMessage="1" showErrorMessage="1" error="Discount rate cannot be negative" sqref="F17:G18" xr:uid="{604568C1-BBFA-400B-81F7-92E83EE2F7BF}">
      <formula1>0</formula1>
    </dataValidation>
    <dataValidation type="decimal" operator="greaterThan" allowBlank="1" showInputMessage="1" showErrorMessage="1" error="Total premiums have to be greater than zero" sqref="F21" xr:uid="{65071387-9E88-4E2F-9F41-7686E5DDDC53}">
      <formula1>0</formula1>
    </dataValidation>
    <dataValidation type="decimal" operator="greaterThanOrEqual" allowBlank="1" showInputMessage="1" showErrorMessage="1" error="Risk adjustment percentage cannot be negative" sqref="F14:G14" xr:uid="{A193C18E-CFFF-40B8-8BA9-B66440631890}">
      <formula1>0</formula1>
    </dataValidation>
    <dataValidation type="decimal" operator="greaterThanOrEqual" allowBlank="1" showInputMessage="1" showErrorMessage="1" error="Acquisition cost ratio cannot be negative" sqref="F13:G13" xr:uid="{B30E7CCF-2951-442D-9B36-85EF37E9D552}">
      <formula1>0</formula1>
    </dataValidation>
    <dataValidation type="decimal" operator="greaterThanOrEqual" allowBlank="1" showInputMessage="1" showErrorMessage="1" error="Expense ratio cannot be negative" sqref="F12:G12" xr:uid="{AE2787A1-E302-4611-96BB-6D89B0239024}">
      <formula1>0</formula1>
    </dataValidation>
    <dataValidation type="list" allowBlank="1" showInputMessage="1" showErrorMessage="1" sqref="F22" xr:uid="{B657F219-C3EA-40C8-8955-0BD5785BCC61}">
      <formula1>"single,annual,semi-ann,quarterly,pattern"</formula1>
    </dataValidation>
    <dataValidation type="list" operator="greaterThanOrEqual" allowBlank="1" showInputMessage="1" showErrorMessage="1" error="Discount rate cannot be negative" sqref="F28" xr:uid="{7A247F78-6A9B-41F9-A488-0FF872BFB851}">
      <formula1>"time, policies IF, risk"</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0EBA8-5C1B-4429-BE60-37C9585FC40B}">
  <sheetPr>
    <tabColor theme="4" tint="-0.249977111117893"/>
  </sheetPr>
  <dimension ref="A5:BK192"/>
  <sheetViews>
    <sheetView showGridLines="0" zoomScale="70" zoomScaleNormal="70" workbookViewId="0">
      <pane ySplit="3" topLeftCell="A4" activePane="bottomLeft" state="frozen"/>
      <selection pane="bottomLeft" activeCell="A33" sqref="A33"/>
    </sheetView>
  </sheetViews>
  <sheetFormatPr defaultRowHeight="14.4" outlineLevelRow="1" x14ac:dyDescent="0.55000000000000004"/>
  <cols>
    <col min="1" max="1" width="5.578125" customWidth="1"/>
    <col min="2" max="32" width="12.68359375" customWidth="1"/>
    <col min="33" max="33" width="12.68359375" style="11" customWidth="1"/>
    <col min="34" max="45" width="12.68359375" customWidth="1"/>
    <col min="46" max="67" width="9.15625" customWidth="1"/>
  </cols>
  <sheetData>
    <row r="5" spans="2:63" ht="18.3" x14ac:dyDescent="0.7">
      <c r="B5" s="2"/>
      <c r="C5" s="2"/>
      <c r="D5" s="2"/>
      <c r="E5" s="2"/>
      <c r="F5" s="2"/>
      <c r="G5" s="2"/>
      <c r="H5" s="2"/>
      <c r="I5" s="2"/>
      <c r="J5" s="2"/>
      <c r="K5" s="96"/>
      <c r="L5" s="2"/>
      <c r="M5" s="2"/>
      <c r="N5" s="2"/>
      <c r="O5" s="2"/>
      <c r="P5" s="2"/>
      <c r="Q5" s="2"/>
      <c r="R5" s="2"/>
      <c r="S5" s="2"/>
      <c r="T5" s="2"/>
      <c r="U5" s="2"/>
      <c r="V5" s="2"/>
      <c r="W5" s="2"/>
      <c r="X5" s="2"/>
      <c r="Y5" s="2"/>
      <c r="Z5" s="2"/>
      <c r="AA5" s="128"/>
      <c r="AB5" s="128"/>
      <c r="AC5" s="128"/>
      <c r="AD5" s="128"/>
      <c r="AE5" s="128"/>
      <c r="AF5" s="128"/>
      <c r="AG5" s="128"/>
      <c r="AH5" s="128"/>
      <c r="AI5" s="128"/>
      <c r="AJ5" s="128"/>
      <c r="AK5" s="128"/>
      <c r="AL5" s="128"/>
      <c r="AM5" s="128"/>
      <c r="AN5" s="128"/>
      <c r="AO5" s="2"/>
      <c r="AP5" s="2"/>
      <c r="AQ5" s="2"/>
      <c r="AR5" s="2"/>
      <c r="AS5" s="2"/>
      <c r="AT5" s="2"/>
      <c r="AU5" s="2"/>
      <c r="AV5" s="2"/>
      <c r="AW5" s="2"/>
      <c r="AX5" s="2"/>
      <c r="AY5" s="2"/>
      <c r="AZ5" s="2"/>
      <c r="BA5" s="2"/>
      <c r="BB5" s="2"/>
      <c r="BC5" s="2"/>
      <c r="BD5" s="2"/>
      <c r="BE5" s="2"/>
      <c r="BF5" s="2"/>
      <c r="BG5" s="2"/>
      <c r="BH5" s="2"/>
      <c r="BI5" s="2"/>
      <c r="BJ5" s="2"/>
      <c r="BK5" s="2"/>
    </row>
    <row r="6" spans="2:63" x14ac:dyDescent="0.55000000000000004">
      <c r="B6" s="2"/>
      <c r="C6" s="2"/>
      <c r="D6" s="2"/>
      <c r="E6" s="2"/>
      <c r="F6" s="2"/>
      <c r="G6" s="2"/>
      <c r="H6" s="2"/>
      <c r="I6" s="2"/>
      <c r="J6" s="2"/>
      <c r="K6" s="2"/>
      <c r="L6" s="2"/>
      <c r="M6" s="2"/>
      <c r="N6" s="2"/>
      <c r="O6" s="2"/>
      <c r="P6" s="2"/>
      <c r="Q6" s="2"/>
      <c r="R6" s="2"/>
      <c r="S6" s="2"/>
      <c r="T6" s="2"/>
      <c r="U6" s="2"/>
      <c r="V6" s="2"/>
      <c r="W6" s="2"/>
      <c r="X6" s="2"/>
      <c r="Y6" s="2"/>
      <c r="Z6" s="2"/>
      <c r="AA6" s="128"/>
      <c r="AB6" s="128"/>
      <c r="AC6" s="128"/>
      <c r="AD6" s="128"/>
      <c r="AE6" s="128"/>
      <c r="AF6" s="128"/>
      <c r="AG6" s="128"/>
      <c r="AH6" s="128"/>
      <c r="AI6" s="128"/>
      <c r="AJ6" s="128"/>
      <c r="AK6" s="128"/>
      <c r="AL6" s="128"/>
      <c r="AM6" s="128"/>
      <c r="AN6" s="128"/>
      <c r="AO6" s="2"/>
      <c r="AP6" s="2"/>
      <c r="AQ6" s="2"/>
      <c r="AR6" s="2"/>
      <c r="AS6" s="2"/>
      <c r="AT6" s="2"/>
      <c r="AU6" s="2"/>
      <c r="AV6" s="2"/>
      <c r="AW6" s="2"/>
      <c r="AX6" s="2"/>
      <c r="AY6" s="2"/>
      <c r="AZ6" s="2"/>
      <c r="BA6" s="2"/>
      <c r="BB6" s="2"/>
      <c r="BC6" s="2"/>
      <c r="BD6" s="2"/>
      <c r="BE6" s="2"/>
      <c r="BF6" s="2"/>
      <c r="BG6" s="2"/>
      <c r="BH6" s="2"/>
      <c r="BI6" s="2"/>
      <c r="BJ6" s="2"/>
      <c r="BK6" s="2"/>
    </row>
    <row r="7" spans="2:63" x14ac:dyDescent="0.55000000000000004">
      <c r="B7" s="141" t="s">
        <v>160</v>
      </c>
      <c r="C7" s="2"/>
      <c r="D7" s="2"/>
      <c r="E7" s="2"/>
      <c r="F7" s="107">
        <v>5</v>
      </c>
      <c r="G7" s="107"/>
      <c r="H7" s="2"/>
      <c r="I7" s="2"/>
      <c r="J7" s="2"/>
      <c r="K7" s="2"/>
      <c r="L7" s="2"/>
      <c r="M7" s="2"/>
      <c r="N7" s="2"/>
      <c r="O7" s="2"/>
      <c r="P7" s="2"/>
      <c r="Q7" s="2"/>
      <c r="R7" s="2"/>
      <c r="S7" s="2"/>
      <c r="T7" s="2"/>
      <c r="U7" s="2"/>
      <c r="V7" s="2"/>
      <c r="W7" s="2"/>
      <c r="X7" s="2"/>
      <c r="Y7" s="2"/>
      <c r="Z7" s="2"/>
      <c r="AA7" s="128"/>
      <c r="AB7" s="128"/>
      <c r="AC7" s="128"/>
      <c r="AD7" s="128"/>
      <c r="AE7" s="128"/>
      <c r="AF7" s="128"/>
      <c r="AG7" s="128"/>
      <c r="AH7" s="128"/>
      <c r="AI7" s="128"/>
      <c r="AJ7" s="128"/>
      <c r="AK7" s="128"/>
      <c r="AL7" s="128"/>
      <c r="AM7" s="128"/>
      <c r="AN7" s="128"/>
      <c r="AO7" s="2"/>
      <c r="AP7" s="2"/>
      <c r="AQ7" s="2"/>
      <c r="AR7" s="2"/>
      <c r="AS7" s="2"/>
      <c r="AT7" s="2"/>
      <c r="AU7" s="2"/>
      <c r="AV7" s="2"/>
      <c r="AW7" s="2"/>
      <c r="AX7" s="2"/>
      <c r="AY7" s="2"/>
      <c r="AZ7" s="2"/>
      <c r="BA7" s="2"/>
      <c r="BB7" s="2"/>
      <c r="BC7" s="2"/>
      <c r="BD7" s="2"/>
      <c r="BE7" s="2"/>
      <c r="BF7" s="2"/>
      <c r="BG7" s="2"/>
      <c r="BH7" s="2"/>
      <c r="BI7" s="2"/>
      <c r="BJ7" s="2"/>
      <c r="BK7" s="2"/>
    </row>
    <row r="8" spans="2:63" x14ac:dyDescent="0.55000000000000004">
      <c r="B8" s="141" t="s">
        <v>168</v>
      </c>
      <c r="C8" s="2"/>
      <c r="D8" s="2"/>
      <c r="E8" s="2"/>
      <c r="F8" s="132">
        <v>7</v>
      </c>
      <c r="G8" s="107"/>
      <c r="H8" s="2"/>
      <c r="I8" s="2"/>
      <c r="J8" s="2"/>
      <c r="K8" s="2"/>
      <c r="L8" s="2"/>
      <c r="M8" s="2"/>
      <c r="N8" s="2"/>
      <c r="O8" s="2"/>
      <c r="P8" s="2"/>
      <c r="Q8" s="2"/>
      <c r="R8" s="2"/>
      <c r="S8" s="2"/>
      <c r="T8" s="2"/>
      <c r="U8" s="2"/>
      <c r="V8" s="2"/>
      <c r="W8" s="2"/>
      <c r="X8" s="2"/>
      <c r="Y8" s="2"/>
      <c r="Z8" s="2"/>
      <c r="AA8" s="128"/>
      <c r="AB8" s="128"/>
      <c r="AC8" s="128"/>
      <c r="AD8" s="128"/>
      <c r="AE8" s="128"/>
      <c r="AF8" s="128"/>
      <c r="AG8" s="128"/>
      <c r="AH8" s="128"/>
      <c r="AI8" s="128"/>
      <c r="AJ8" s="128"/>
      <c r="AK8" s="128"/>
      <c r="AL8" s="128"/>
      <c r="AM8" s="128"/>
      <c r="AN8" s="128"/>
      <c r="AO8" s="2"/>
      <c r="AP8" s="2"/>
      <c r="AQ8" s="2"/>
      <c r="AR8" s="2"/>
      <c r="AS8" s="2"/>
      <c r="AT8" s="2"/>
      <c r="AU8" s="2"/>
      <c r="AV8" s="2"/>
      <c r="AW8" s="2"/>
      <c r="AX8" s="2"/>
      <c r="AY8" s="2"/>
      <c r="AZ8" s="2"/>
      <c r="BA8" s="2"/>
      <c r="BB8" s="2"/>
      <c r="BC8" s="2"/>
      <c r="BD8" s="2"/>
      <c r="BE8" s="2"/>
      <c r="BF8" s="2"/>
      <c r="BG8" s="2"/>
      <c r="BH8" s="2"/>
      <c r="BI8" s="2"/>
      <c r="BJ8" s="2"/>
      <c r="BK8" s="2"/>
    </row>
    <row r="9" spans="2:63" x14ac:dyDescent="0.55000000000000004">
      <c r="B9" s="142"/>
      <c r="C9" s="2"/>
      <c r="D9" s="2"/>
      <c r="E9" s="2"/>
      <c r="F9" s="2"/>
      <c r="G9" s="2"/>
      <c r="H9" s="2"/>
      <c r="I9" s="2"/>
      <c r="J9" s="2"/>
      <c r="K9" s="2"/>
      <c r="L9" s="2"/>
      <c r="M9" s="2"/>
      <c r="N9" s="2"/>
      <c r="O9" s="2"/>
      <c r="P9" s="2"/>
      <c r="Q9" s="2"/>
      <c r="R9" s="2"/>
      <c r="S9" s="2"/>
      <c r="T9" s="2"/>
      <c r="U9" s="2"/>
      <c r="V9" s="2"/>
      <c r="W9" s="2"/>
      <c r="X9" s="2"/>
      <c r="Y9" s="2"/>
      <c r="Z9" s="2"/>
      <c r="AA9" s="128"/>
      <c r="AB9" s="128"/>
      <c r="AC9" s="128"/>
      <c r="AD9" s="128"/>
      <c r="AE9" s="128"/>
      <c r="AF9" s="128"/>
      <c r="AG9" s="128"/>
      <c r="AH9" s="128"/>
      <c r="AI9" s="128"/>
      <c r="AJ9" s="128"/>
      <c r="AK9" s="128"/>
      <c r="AL9" s="128"/>
      <c r="AM9" s="128"/>
      <c r="AN9" s="128"/>
      <c r="AO9" s="2"/>
      <c r="AP9" s="2"/>
      <c r="AQ9" s="2"/>
      <c r="AR9" s="2"/>
      <c r="AS9" s="2"/>
      <c r="AT9" s="2"/>
      <c r="AU9" s="2"/>
      <c r="AV9" s="2"/>
      <c r="AW9" s="2"/>
      <c r="AX9" s="2"/>
      <c r="AY9" s="2"/>
      <c r="AZ9" s="2"/>
      <c r="BA9" s="2"/>
      <c r="BB9" s="2"/>
      <c r="BC9" s="2"/>
      <c r="BD9" s="2"/>
      <c r="BE9" s="2"/>
      <c r="BF9" s="2"/>
      <c r="BG9" s="2"/>
      <c r="BH9" s="2"/>
      <c r="BI9" s="2"/>
      <c r="BJ9" s="2"/>
      <c r="BK9" s="2"/>
    </row>
    <row r="10" spans="2:63" ht="14.5" customHeight="1" x14ac:dyDescent="0.55000000000000004">
      <c r="B10" s="142"/>
      <c r="C10" s="2"/>
      <c r="D10" s="2"/>
      <c r="E10" s="2"/>
      <c r="F10" s="140" t="s">
        <v>161</v>
      </c>
      <c r="G10" s="140" t="s">
        <v>162</v>
      </c>
      <c r="I10" s="2"/>
      <c r="J10" s="2"/>
      <c r="K10" s="2"/>
      <c r="L10" s="2"/>
      <c r="M10" s="2"/>
      <c r="N10" s="2"/>
      <c r="O10" s="2"/>
      <c r="P10" s="2"/>
      <c r="Q10" s="2"/>
      <c r="R10" s="2"/>
      <c r="S10" s="2"/>
      <c r="T10" s="2"/>
      <c r="U10" s="2"/>
      <c r="V10" s="2"/>
      <c r="W10" s="2"/>
      <c r="X10" s="2"/>
      <c r="Y10" s="2"/>
      <c r="Z10" s="2"/>
      <c r="AA10" s="128"/>
      <c r="AB10" s="128"/>
      <c r="AC10" s="128"/>
      <c r="AD10" s="128"/>
      <c r="AE10" s="128"/>
      <c r="AF10" s="128"/>
      <c r="AG10" s="128"/>
      <c r="AH10" s="128"/>
      <c r="AI10" s="128"/>
      <c r="AJ10" s="128"/>
      <c r="AK10" s="128"/>
      <c r="AL10" s="128"/>
      <c r="AM10" s="128"/>
      <c r="AN10" s="128"/>
      <c r="AO10" s="2"/>
      <c r="AP10" s="2"/>
      <c r="AQ10" s="2"/>
      <c r="AR10" s="2"/>
      <c r="AS10" s="2"/>
      <c r="AT10" s="2"/>
      <c r="AU10" s="2"/>
      <c r="AV10" s="2"/>
      <c r="AW10" s="2"/>
      <c r="AX10" s="2"/>
      <c r="AY10" s="2"/>
      <c r="AZ10" s="2"/>
      <c r="BA10" s="2"/>
      <c r="BB10" s="2"/>
      <c r="BC10" s="2"/>
      <c r="BD10" s="2"/>
      <c r="BE10" s="2"/>
      <c r="BF10" s="2"/>
      <c r="BG10" s="2"/>
      <c r="BH10" s="2"/>
      <c r="BI10" s="2"/>
      <c r="BJ10" s="2"/>
      <c r="BK10" s="2"/>
    </row>
    <row r="11" spans="2:63" x14ac:dyDescent="0.55000000000000004">
      <c r="B11" s="141" t="s">
        <v>134</v>
      </c>
      <c r="C11" s="2"/>
      <c r="D11" s="2"/>
      <c r="E11" s="2"/>
      <c r="F11" s="133">
        <v>0.6</v>
      </c>
      <c r="G11" s="133">
        <v>0.5</v>
      </c>
      <c r="N11" s="2"/>
      <c r="O11" s="2"/>
      <c r="P11" s="2"/>
      <c r="Q11" s="2"/>
      <c r="S11" s="2"/>
      <c r="T11" s="2"/>
      <c r="U11" s="2"/>
      <c r="V11" s="2"/>
      <c r="W11" s="2"/>
      <c r="X11" s="2"/>
      <c r="Y11" s="2"/>
      <c r="Z11" s="2"/>
      <c r="AA11" s="128"/>
      <c r="AB11" s="128"/>
      <c r="AC11" s="128"/>
      <c r="AD11" s="128"/>
      <c r="AE11" s="128"/>
      <c r="AF11" s="128"/>
      <c r="AG11" s="128"/>
      <c r="AH11" s="128"/>
      <c r="AI11" s="128"/>
      <c r="AJ11" s="128"/>
      <c r="AK11" s="128"/>
      <c r="AL11" s="128"/>
      <c r="AM11" s="128"/>
      <c r="AN11" s="128"/>
      <c r="AO11" s="2"/>
      <c r="AP11" s="2"/>
      <c r="AQ11" s="2"/>
      <c r="AR11" s="2"/>
      <c r="AS11" s="2"/>
      <c r="AT11" s="2"/>
      <c r="AU11" s="2"/>
      <c r="AV11" s="2"/>
      <c r="AW11" s="2"/>
      <c r="AX11" s="2"/>
      <c r="AY11" s="2"/>
      <c r="AZ11" s="2"/>
      <c r="BA11" s="2"/>
      <c r="BB11" s="2"/>
      <c r="BC11" s="2"/>
      <c r="BD11" s="2"/>
      <c r="BE11" s="2"/>
      <c r="BF11" s="2"/>
      <c r="BG11" s="2"/>
      <c r="BH11" s="2"/>
      <c r="BI11" s="2"/>
      <c r="BJ11" s="2"/>
      <c r="BK11" s="2"/>
    </row>
    <row r="12" spans="2:63" x14ac:dyDescent="0.55000000000000004">
      <c r="B12" s="141" t="s">
        <v>165</v>
      </c>
      <c r="C12" s="2"/>
      <c r="D12" s="2"/>
      <c r="E12" s="2"/>
      <c r="F12" s="133">
        <v>0.15</v>
      </c>
      <c r="G12" s="133">
        <v>0.1</v>
      </c>
      <c r="N12" s="2"/>
      <c r="O12" s="2"/>
      <c r="P12" s="2"/>
      <c r="Q12" s="2"/>
      <c r="S12" s="2"/>
      <c r="T12" s="2"/>
      <c r="U12" s="2"/>
      <c r="V12" s="2"/>
      <c r="W12" s="2"/>
      <c r="X12" s="2"/>
      <c r="Y12" s="2"/>
      <c r="Z12" s="2"/>
      <c r="AA12" s="128"/>
      <c r="AB12" s="128"/>
      <c r="AC12" s="128"/>
      <c r="AD12" s="128"/>
      <c r="AE12" s="128"/>
      <c r="AF12" s="128"/>
      <c r="AG12" s="128"/>
      <c r="AH12" s="128"/>
      <c r="AI12" s="128"/>
      <c r="AJ12" s="128"/>
      <c r="AK12" s="128"/>
      <c r="AL12" s="128"/>
      <c r="AM12" s="128"/>
      <c r="AN12" s="128"/>
      <c r="AO12" s="2"/>
      <c r="AP12" s="2"/>
      <c r="AQ12" s="2"/>
      <c r="AR12" s="2"/>
      <c r="AS12" s="2"/>
      <c r="AT12" s="2"/>
      <c r="AU12" s="2"/>
      <c r="AV12" s="2"/>
      <c r="AW12" s="2"/>
      <c r="AX12" s="2"/>
      <c r="AY12" s="2"/>
      <c r="AZ12" s="2"/>
      <c r="BA12" s="2"/>
      <c r="BB12" s="2"/>
      <c r="BC12" s="2"/>
      <c r="BD12" s="2"/>
      <c r="BE12" s="2"/>
      <c r="BF12" s="2"/>
      <c r="BG12" s="2"/>
      <c r="BH12" s="2"/>
      <c r="BI12" s="2"/>
      <c r="BJ12" s="2"/>
      <c r="BK12" s="2"/>
    </row>
    <row r="13" spans="2:63" x14ac:dyDescent="0.55000000000000004">
      <c r="B13" s="141" t="s">
        <v>170</v>
      </c>
      <c r="C13" s="2"/>
      <c r="D13" s="2"/>
      <c r="E13" s="2"/>
      <c r="F13" s="133">
        <v>0.1</v>
      </c>
      <c r="G13" s="111">
        <f>F13</f>
        <v>0.1</v>
      </c>
      <c r="N13" s="2"/>
      <c r="O13" s="2"/>
      <c r="P13" s="2"/>
      <c r="Q13" s="2"/>
      <c r="S13" s="2"/>
      <c r="T13" s="2"/>
      <c r="U13" s="2"/>
      <c r="V13" s="2"/>
      <c r="W13" s="2"/>
      <c r="X13" s="2"/>
      <c r="Y13" s="2"/>
      <c r="Z13" s="2"/>
      <c r="AA13" s="128"/>
      <c r="AB13" s="128"/>
      <c r="AC13" s="128"/>
      <c r="AD13" s="128"/>
      <c r="AE13" s="128"/>
      <c r="AF13" s="128"/>
      <c r="AG13" s="128"/>
      <c r="AH13" s="128"/>
      <c r="AI13" s="128"/>
      <c r="AJ13" s="128"/>
      <c r="AK13" s="128"/>
      <c r="AL13" s="128"/>
      <c r="AM13" s="128"/>
      <c r="AN13" s="128"/>
      <c r="AO13" s="2"/>
      <c r="AP13" s="2"/>
      <c r="AQ13" s="2"/>
      <c r="AR13" s="2"/>
      <c r="AS13" s="2"/>
      <c r="AT13" s="2"/>
      <c r="AU13" s="2"/>
      <c r="AV13" s="2"/>
      <c r="AW13" s="2"/>
      <c r="AX13" s="2"/>
      <c r="AY13" s="2"/>
      <c r="AZ13" s="2"/>
      <c r="BA13" s="2"/>
      <c r="BB13" s="2"/>
      <c r="BC13" s="2"/>
      <c r="BD13" s="2"/>
      <c r="BE13" s="2"/>
      <c r="BF13" s="2"/>
      <c r="BG13" s="2"/>
      <c r="BH13" s="2"/>
      <c r="BI13" s="2"/>
      <c r="BJ13" s="2"/>
      <c r="BK13" s="2"/>
    </row>
    <row r="14" spans="2:63" x14ac:dyDescent="0.55000000000000004">
      <c r="B14" s="141" t="s">
        <v>395</v>
      </c>
      <c r="C14" s="2"/>
      <c r="D14" s="2"/>
      <c r="E14" s="2"/>
      <c r="F14" s="133">
        <v>0.05</v>
      </c>
      <c r="G14" s="133">
        <v>0.03</v>
      </c>
      <c r="N14" s="2"/>
      <c r="O14" s="2"/>
      <c r="P14" s="2"/>
      <c r="Q14" s="2"/>
      <c r="S14" s="2"/>
      <c r="T14" s="2"/>
      <c r="U14" s="2"/>
      <c r="V14" s="2"/>
      <c r="W14" s="2"/>
      <c r="X14" s="2"/>
      <c r="Y14" s="2"/>
      <c r="Z14" s="2"/>
      <c r="AA14" s="128"/>
      <c r="AB14" s="128"/>
      <c r="AC14" s="128"/>
      <c r="AD14" s="128"/>
      <c r="AE14" s="128"/>
      <c r="AF14" s="128"/>
      <c r="AG14" s="128"/>
      <c r="AH14" s="128"/>
      <c r="AI14" s="128"/>
      <c r="AJ14" s="128"/>
      <c r="AK14" s="128"/>
      <c r="AL14" s="128"/>
      <c r="AM14" s="128"/>
      <c r="AN14" s="128"/>
      <c r="AO14" s="2"/>
      <c r="AP14" s="2"/>
      <c r="AQ14" s="2"/>
      <c r="AR14" s="2"/>
      <c r="AS14" s="2"/>
      <c r="AT14" s="2"/>
      <c r="AU14" s="2"/>
      <c r="AV14" s="2"/>
      <c r="AW14" s="2"/>
      <c r="AX14" s="2"/>
      <c r="AY14" s="2"/>
      <c r="AZ14" s="2"/>
      <c r="BA14" s="2"/>
      <c r="BB14" s="2"/>
      <c r="BC14" s="2"/>
      <c r="BD14" s="2"/>
      <c r="BE14" s="2"/>
      <c r="BF14" s="2"/>
      <c r="BG14" s="2"/>
      <c r="BH14" s="2"/>
      <c r="BI14" s="2"/>
      <c r="BJ14" s="2"/>
      <c r="BK14" s="2"/>
    </row>
    <row r="15" spans="2:63" x14ac:dyDescent="0.55000000000000004">
      <c r="B15" s="141" t="s">
        <v>166</v>
      </c>
      <c r="C15" s="2"/>
      <c r="D15" s="2"/>
      <c r="E15" s="2"/>
      <c r="F15" s="130">
        <f>(F11+F12)*(1+F14)+F13</f>
        <v>0.88750000000000007</v>
      </c>
      <c r="G15" s="130">
        <f>(G11+G12)*(1+G14)+G13</f>
        <v>0.71799999999999997</v>
      </c>
      <c r="N15" s="2"/>
      <c r="O15" s="2"/>
      <c r="P15" s="2"/>
      <c r="Q15" s="2"/>
      <c r="S15" s="2"/>
      <c r="T15" s="2"/>
      <c r="U15" s="2"/>
      <c r="V15" s="2"/>
      <c r="W15" s="2"/>
      <c r="X15" s="2"/>
      <c r="Y15" s="2"/>
      <c r="Z15" s="2"/>
      <c r="AA15" s="128"/>
      <c r="AB15" s="128"/>
      <c r="AC15" s="128"/>
      <c r="AD15" s="128"/>
      <c r="AE15" s="128"/>
      <c r="AF15" s="128"/>
      <c r="AG15" s="128"/>
      <c r="AH15" s="128"/>
      <c r="AI15" s="128"/>
      <c r="AJ15" s="128"/>
      <c r="AK15" s="128"/>
      <c r="AL15" s="128"/>
      <c r="AM15" s="128"/>
      <c r="AN15" s="128"/>
      <c r="AO15" s="2"/>
      <c r="AP15" s="2"/>
      <c r="AQ15" s="2"/>
      <c r="AR15" s="2"/>
      <c r="AS15" s="2"/>
      <c r="AT15" s="2"/>
      <c r="AU15" s="2"/>
      <c r="AV15" s="2"/>
      <c r="AW15" s="2"/>
      <c r="AY15" s="2"/>
      <c r="AZ15" s="2"/>
      <c r="BA15" s="2"/>
      <c r="BB15" s="2"/>
      <c r="BC15" s="2"/>
      <c r="BD15" s="2"/>
      <c r="BE15" s="2"/>
      <c r="BF15" s="2"/>
      <c r="BG15" s="2"/>
      <c r="BH15" s="2"/>
      <c r="BI15" s="2"/>
      <c r="BJ15" s="2"/>
      <c r="BK15" s="2"/>
    </row>
    <row r="16" spans="2:63" x14ac:dyDescent="0.55000000000000004">
      <c r="B16" s="141"/>
      <c r="C16" s="2"/>
      <c r="D16" s="2"/>
      <c r="E16" s="2"/>
      <c r="F16" s="97"/>
      <c r="G16" s="97"/>
      <c r="N16" s="2"/>
      <c r="O16" s="2"/>
      <c r="P16" s="2"/>
      <c r="Q16" s="2"/>
      <c r="S16" s="2"/>
      <c r="T16" s="2"/>
      <c r="U16" s="2"/>
      <c r="V16" s="2"/>
      <c r="W16" s="2"/>
      <c r="X16" s="2"/>
      <c r="Y16" s="2"/>
      <c r="Z16" s="2"/>
      <c r="AA16" s="128"/>
      <c r="AB16" s="128"/>
      <c r="AC16" s="128"/>
      <c r="AD16" s="128"/>
      <c r="AE16" s="128"/>
      <c r="AF16" s="128"/>
      <c r="AG16" s="128"/>
      <c r="AH16" s="128"/>
      <c r="AI16" s="128"/>
      <c r="AJ16" s="128"/>
      <c r="AK16" s="128"/>
      <c r="AL16" s="128"/>
      <c r="AM16" s="128"/>
      <c r="AN16" s="128"/>
      <c r="AO16" s="2"/>
      <c r="AP16" s="2"/>
      <c r="AQ16" s="2"/>
      <c r="AR16" s="2"/>
      <c r="AS16" s="2"/>
      <c r="AT16" s="2"/>
      <c r="AU16" s="2"/>
      <c r="AV16" s="2"/>
      <c r="AW16" s="2"/>
      <c r="AY16" s="2"/>
      <c r="AZ16" s="2"/>
      <c r="BA16" s="2"/>
      <c r="BB16" s="2"/>
      <c r="BC16" s="2"/>
      <c r="BD16" s="2"/>
      <c r="BE16" s="2"/>
      <c r="BF16" s="2"/>
      <c r="BG16" s="2"/>
      <c r="BH16" s="2"/>
      <c r="BI16" s="2"/>
      <c r="BJ16" s="2"/>
      <c r="BK16" s="2"/>
    </row>
    <row r="17" spans="2:63" x14ac:dyDescent="0.55000000000000004">
      <c r="B17" s="141" t="s">
        <v>156</v>
      </c>
      <c r="C17" s="2"/>
      <c r="D17" s="2"/>
      <c r="E17" s="2"/>
      <c r="F17" s="133">
        <v>0.02</v>
      </c>
      <c r="G17" s="133">
        <v>0.01</v>
      </c>
      <c r="N17" s="2"/>
      <c r="O17" s="2"/>
      <c r="P17" s="2"/>
      <c r="Q17" s="2"/>
      <c r="S17" s="2"/>
      <c r="T17" s="2"/>
      <c r="U17" s="2"/>
      <c r="V17" s="2"/>
      <c r="W17" s="2"/>
      <c r="X17" s="2"/>
      <c r="Y17" s="2"/>
      <c r="Z17" s="2"/>
      <c r="AA17" s="128"/>
      <c r="AB17" s="128"/>
      <c r="AC17" s="128"/>
      <c r="AD17" s="128"/>
      <c r="AE17" s="128"/>
      <c r="AF17" s="128"/>
      <c r="AG17" s="128"/>
      <c r="AH17" s="128"/>
      <c r="AI17" s="128"/>
      <c r="AJ17" s="128"/>
      <c r="AK17" s="128"/>
      <c r="AL17" s="128"/>
      <c r="AM17" s="128"/>
      <c r="AN17" s="128"/>
      <c r="AO17" s="2"/>
      <c r="AP17" s="2"/>
      <c r="AQ17" s="2"/>
      <c r="AR17" s="2"/>
      <c r="AS17" s="2"/>
      <c r="AT17" s="2"/>
      <c r="AU17" s="2"/>
      <c r="AV17" s="2"/>
      <c r="AW17" s="2"/>
      <c r="AY17" s="2"/>
      <c r="AZ17" s="2"/>
      <c r="BA17" s="2"/>
      <c r="BB17" s="2"/>
      <c r="BC17" s="2"/>
      <c r="BD17" s="2"/>
      <c r="BE17" s="2"/>
      <c r="BF17" s="2"/>
      <c r="BG17" s="2"/>
      <c r="BH17" s="2"/>
      <c r="BI17" s="2"/>
      <c r="BJ17" s="2"/>
      <c r="BK17" s="2"/>
    </row>
    <row r="18" spans="2:63" x14ac:dyDescent="0.55000000000000004">
      <c r="B18" s="141" t="s">
        <v>137</v>
      </c>
      <c r="F18" s="133">
        <v>0.01</v>
      </c>
      <c r="G18" s="133">
        <v>5.0000000000000001E-3</v>
      </c>
      <c r="N18" s="2"/>
      <c r="O18" s="2"/>
      <c r="P18" s="2"/>
      <c r="Q18" s="2"/>
      <c r="S18" s="2"/>
      <c r="T18" s="2"/>
      <c r="U18" s="2"/>
      <c r="V18" s="2"/>
      <c r="W18" s="2"/>
      <c r="X18" s="2"/>
      <c r="Y18" s="2"/>
      <c r="Z18" s="2"/>
      <c r="AA18" s="128"/>
      <c r="AB18" s="128"/>
      <c r="AC18" s="128"/>
      <c r="AD18" s="128"/>
      <c r="AE18" s="128"/>
      <c r="AF18" s="128"/>
      <c r="AG18" s="128"/>
      <c r="AH18" s="128"/>
      <c r="AI18" s="128"/>
      <c r="AJ18" s="128"/>
      <c r="AK18" s="128"/>
      <c r="AL18" s="128"/>
      <c r="AM18" s="128"/>
      <c r="AN18" s="128"/>
      <c r="AO18" s="2"/>
      <c r="AP18" s="2"/>
      <c r="AQ18" s="2"/>
      <c r="AR18" s="2"/>
      <c r="AS18" s="2"/>
      <c r="AT18" s="2"/>
      <c r="AU18" s="2"/>
      <c r="AV18" s="2"/>
      <c r="AW18" s="2"/>
      <c r="AY18" s="2"/>
      <c r="AZ18" s="2"/>
      <c r="BA18" s="2"/>
      <c r="BB18" s="2"/>
      <c r="BC18" s="2"/>
      <c r="BD18" s="2"/>
      <c r="BE18" s="2"/>
      <c r="BF18" s="2"/>
      <c r="BG18" s="2"/>
      <c r="BH18" s="2"/>
      <c r="BI18" s="2"/>
      <c r="BJ18" s="2"/>
      <c r="BK18" s="2"/>
    </row>
    <row r="19" spans="2:63" x14ac:dyDescent="0.55000000000000004">
      <c r="B19" s="141" t="s">
        <v>118</v>
      </c>
      <c r="C19" s="2"/>
      <c r="D19" s="2"/>
      <c r="E19" s="2"/>
      <c r="F19" s="133">
        <v>0.2</v>
      </c>
      <c r="G19" s="133">
        <v>0.1</v>
      </c>
      <c r="N19" s="2"/>
      <c r="O19" s="2"/>
      <c r="P19" s="2"/>
      <c r="Q19" s="2"/>
      <c r="S19" s="2"/>
      <c r="T19" s="2"/>
      <c r="U19" s="2"/>
      <c r="V19" s="2"/>
      <c r="W19" s="2"/>
      <c r="X19" s="2"/>
      <c r="Y19" s="2"/>
      <c r="Z19" s="2"/>
      <c r="AA19" s="128"/>
      <c r="AB19" s="128"/>
      <c r="AC19" s="128"/>
      <c r="AD19" s="128"/>
      <c r="AE19" s="128"/>
      <c r="AF19" s="128"/>
      <c r="AG19" s="128"/>
      <c r="AH19" s="128"/>
      <c r="AI19" s="128"/>
      <c r="AJ19" s="128"/>
      <c r="AK19" s="128"/>
      <c r="AL19" s="128"/>
      <c r="AM19" s="128"/>
      <c r="AN19" s="128"/>
      <c r="AO19" s="2"/>
      <c r="AP19" s="2"/>
      <c r="AQ19" s="2"/>
      <c r="AR19" s="2"/>
      <c r="AS19" s="2"/>
      <c r="AT19" s="2"/>
      <c r="AU19" s="2"/>
      <c r="AV19" s="2"/>
      <c r="AW19" s="2"/>
      <c r="AY19" s="2"/>
      <c r="AZ19" s="2"/>
      <c r="BA19" s="2"/>
      <c r="BB19" s="2"/>
      <c r="BC19" s="2"/>
      <c r="BD19" s="2"/>
      <c r="BE19" s="2"/>
      <c r="BF19" s="2"/>
      <c r="BG19" s="2"/>
      <c r="BH19" s="2"/>
      <c r="BI19" s="2"/>
      <c r="BJ19" s="2"/>
      <c r="BK19" s="2"/>
    </row>
    <row r="20" spans="2:63" x14ac:dyDescent="0.55000000000000004">
      <c r="B20" s="141"/>
      <c r="C20" s="2"/>
      <c r="D20" s="2"/>
      <c r="E20" s="2"/>
      <c r="F20" s="97"/>
      <c r="G20" s="97"/>
      <c r="H20" s="97"/>
      <c r="N20" s="2"/>
      <c r="O20" s="2"/>
      <c r="P20" s="2"/>
      <c r="Q20" s="2"/>
      <c r="S20" s="2"/>
      <c r="T20" s="2"/>
      <c r="U20" s="2"/>
      <c r="V20" s="2"/>
      <c r="W20" s="2"/>
      <c r="X20" s="2"/>
      <c r="Y20" s="2"/>
      <c r="Z20" s="2"/>
      <c r="AA20" s="128"/>
      <c r="AB20" s="128"/>
      <c r="AC20" s="128"/>
      <c r="AD20" s="128"/>
      <c r="AE20" s="128"/>
      <c r="AF20" s="128"/>
      <c r="AG20" s="128"/>
      <c r="AH20" s="128"/>
      <c r="AI20" s="128"/>
      <c r="AJ20" s="128"/>
      <c r="AK20" s="128"/>
      <c r="AL20" s="128"/>
      <c r="AM20" s="128"/>
      <c r="AN20" s="128"/>
      <c r="AO20" s="2"/>
      <c r="AP20" s="2"/>
      <c r="AQ20" s="2"/>
      <c r="AR20" s="2"/>
      <c r="AS20" s="2"/>
      <c r="AT20" s="2"/>
      <c r="AU20" s="2"/>
      <c r="AV20" s="2"/>
      <c r="AW20" s="2"/>
      <c r="AY20" s="2"/>
      <c r="AZ20" s="2"/>
      <c r="BA20" s="2"/>
      <c r="BB20" s="2"/>
      <c r="BC20" s="2"/>
      <c r="BD20" s="2"/>
      <c r="BE20" s="2"/>
      <c r="BF20" s="2"/>
      <c r="BG20" s="2"/>
      <c r="BH20" s="2"/>
      <c r="BI20" s="2"/>
      <c r="BJ20" s="2"/>
      <c r="BK20" s="2"/>
    </row>
    <row r="21" spans="2:63" x14ac:dyDescent="0.55000000000000004">
      <c r="B21" s="141" t="s">
        <v>434</v>
      </c>
      <c r="C21" s="2"/>
      <c r="D21" s="2"/>
      <c r="E21" s="2"/>
      <c r="F21" s="132">
        <v>9000000</v>
      </c>
      <c r="H21" s="97"/>
      <c r="N21" s="2"/>
      <c r="O21" s="2"/>
      <c r="P21" s="2"/>
      <c r="Q21" s="2"/>
      <c r="S21" s="2"/>
      <c r="T21" s="2"/>
      <c r="U21" s="2"/>
      <c r="V21" s="2"/>
      <c r="W21" s="2"/>
      <c r="X21" s="2"/>
      <c r="Y21" s="2"/>
      <c r="Z21" s="2"/>
      <c r="AA21" s="128"/>
      <c r="AB21" s="128"/>
      <c r="AC21" s="128"/>
      <c r="AD21" s="128"/>
      <c r="AE21" s="128"/>
      <c r="AF21" s="128"/>
      <c r="AG21" s="128"/>
      <c r="AH21" s="128"/>
      <c r="AI21" s="128"/>
      <c r="AJ21" s="128"/>
      <c r="AK21" s="128"/>
      <c r="AL21" s="128"/>
      <c r="AM21" s="128"/>
      <c r="AN21" s="128"/>
      <c r="AO21" s="2"/>
      <c r="AP21" s="2"/>
      <c r="AQ21" s="2"/>
      <c r="AR21" s="2"/>
      <c r="AS21" s="2"/>
      <c r="AT21" s="2"/>
      <c r="AU21" s="2"/>
      <c r="AV21" s="2"/>
      <c r="AW21" s="2"/>
      <c r="AX21" s="2"/>
      <c r="AY21" s="2"/>
      <c r="AZ21" s="2"/>
      <c r="BA21" s="2"/>
      <c r="BB21" s="2"/>
      <c r="BC21" s="2"/>
      <c r="BD21" s="2"/>
      <c r="BE21" s="2"/>
      <c r="BF21" s="2"/>
      <c r="BG21" s="2"/>
      <c r="BH21" s="2"/>
      <c r="BI21" s="2"/>
      <c r="BJ21" s="2"/>
      <c r="BK21" s="2"/>
    </row>
    <row r="22" spans="2:63" x14ac:dyDescent="0.55000000000000004">
      <c r="B22" s="141" t="s">
        <v>435</v>
      </c>
      <c r="C22" s="2"/>
      <c r="D22" s="2"/>
      <c r="E22" s="2"/>
      <c r="F22" s="132" t="s">
        <v>394</v>
      </c>
      <c r="H22" s="97"/>
      <c r="N22" s="2"/>
      <c r="O22" s="2"/>
      <c r="P22" s="2"/>
      <c r="Q22" s="2"/>
      <c r="S22" s="2"/>
      <c r="T22" s="2"/>
      <c r="U22" s="2"/>
      <c r="V22" s="2"/>
      <c r="W22" s="2"/>
      <c r="X22" s="2"/>
      <c r="Y22" s="2"/>
      <c r="Z22" s="2"/>
      <c r="AA22" s="128"/>
      <c r="AB22" s="128"/>
      <c r="AC22" s="128"/>
      <c r="AD22" s="128"/>
      <c r="AE22" s="128"/>
      <c r="AF22" s="128"/>
      <c r="AG22" s="128"/>
      <c r="AH22" s="128"/>
      <c r="AI22" s="128"/>
      <c r="AJ22" s="128"/>
      <c r="AK22" s="128"/>
      <c r="AL22" s="128"/>
      <c r="AM22" s="128"/>
      <c r="AN22" s="128"/>
      <c r="AO22" s="2"/>
      <c r="AP22" s="2"/>
      <c r="AQ22" s="2"/>
      <c r="AR22" s="2"/>
      <c r="AS22" s="2"/>
      <c r="AT22" s="2"/>
      <c r="AU22" s="2"/>
      <c r="AV22" s="2"/>
      <c r="AW22" s="2"/>
      <c r="AX22" s="2"/>
      <c r="AY22" s="2"/>
      <c r="AZ22" s="2"/>
      <c r="BA22" s="2"/>
      <c r="BB22" s="2"/>
      <c r="BC22" s="2"/>
      <c r="BD22" s="2"/>
      <c r="BE22" s="2"/>
      <c r="BF22" s="2"/>
      <c r="BG22" s="2"/>
      <c r="BH22" s="2"/>
      <c r="BI22" s="2"/>
      <c r="BJ22" s="2"/>
      <c r="BK22" s="2"/>
    </row>
    <row r="23" spans="2:63" x14ac:dyDescent="0.55000000000000004">
      <c r="B23" s="141" t="s">
        <v>169</v>
      </c>
      <c r="C23" s="2"/>
      <c r="D23" s="2"/>
      <c r="E23" s="2"/>
      <c r="F23" s="131" t="s">
        <v>120</v>
      </c>
      <c r="N23" s="2"/>
      <c r="O23" s="2"/>
      <c r="P23" s="2"/>
      <c r="Q23" s="2"/>
      <c r="S23" s="2"/>
      <c r="T23" s="2"/>
      <c r="U23" s="2"/>
      <c r="V23" s="2"/>
      <c r="W23" s="2"/>
      <c r="X23" s="2"/>
      <c r="Y23" s="2"/>
      <c r="Z23" s="2"/>
      <c r="AA23" s="128"/>
      <c r="AB23" s="128"/>
      <c r="AC23" s="128"/>
      <c r="AD23" s="128"/>
      <c r="AE23" s="128"/>
      <c r="AF23" s="128"/>
      <c r="AG23" s="128"/>
      <c r="AH23" s="128"/>
      <c r="AI23" s="128"/>
      <c r="AJ23" s="128"/>
      <c r="AK23" s="128"/>
      <c r="AL23" s="128"/>
      <c r="AM23" s="128"/>
      <c r="AN23" s="128"/>
      <c r="AO23" s="2"/>
      <c r="AP23" s="2"/>
      <c r="AQ23" s="2"/>
      <c r="AR23" s="2"/>
      <c r="AS23" s="2"/>
      <c r="AT23" s="2"/>
      <c r="AU23" s="2"/>
      <c r="AV23" s="2"/>
      <c r="AW23" s="2"/>
      <c r="AX23" s="2"/>
      <c r="AY23" s="2"/>
      <c r="AZ23" s="2"/>
      <c r="BA23" s="2"/>
      <c r="BB23" s="2"/>
      <c r="BC23" s="2"/>
      <c r="BD23" s="2"/>
      <c r="BE23" s="2"/>
      <c r="BF23" s="2"/>
      <c r="BG23" s="2"/>
      <c r="BH23" s="2"/>
      <c r="BI23" s="2"/>
      <c r="BJ23" s="2"/>
      <c r="BK23" s="2"/>
    </row>
    <row r="24" spans="2:63" x14ac:dyDescent="0.55000000000000004">
      <c r="B24" s="141" t="s">
        <v>167</v>
      </c>
      <c r="F24" s="131" t="s">
        <v>120</v>
      </c>
      <c r="N24" s="2"/>
      <c r="O24" s="2"/>
      <c r="P24" s="2"/>
      <c r="Q24" s="2"/>
      <c r="S24" s="2"/>
      <c r="T24" s="2"/>
      <c r="U24" s="2"/>
      <c r="V24" s="2"/>
      <c r="W24" s="2"/>
      <c r="X24" s="2"/>
      <c r="Y24" s="2"/>
      <c r="Z24" s="2"/>
      <c r="AA24" s="128"/>
      <c r="AB24" s="128"/>
      <c r="AC24" s="128"/>
      <c r="AD24" s="128"/>
      <c r="AE24" s="128"/>
      <c r="AF24" s="128"/>
      <c r="AG24" s="128"/>
      <c r="AH24" s="128"/>
      <c r="AI24" s="128"/>
      <c r="AJ24" s="128"/>
      <c r="AK24" s="128"/>
      <c r="AL24" s="128"/>
      <c r="AM24" s="128"/>
      <c r="AN24" s="128"/>
      <c r="AO24" s="2"/>
      <c r="AP24" s="2"/>
      <c r="AQ24" s="2"/>
      <c r="AR24" s="2"/>
      <c r="AS24" s="2"/>
      <c r="AT24" s="2"/>
      <c r="AU24" s="2"/>
      <c r="AV24" s="2"/>
      <c r="AW24" s="2"/>
      <c r="AX24" s="2"/>
      <c r="AY24" s="2"/>
      <c r="AZ24" s="2"/>
      <c r="BA24" s="2"/>
      <c r="BB24" s="2"/>
      <c r="BC24" s="2"/>
      <c r="BD24" s="2"/>
      <c r="BE24" s="2"/>
      <c r="BF24" s="2"/>
      <c r="BG24" s="2"/>
      <c r="BH24" s="2"/>
      <c r="BI24" s="2"/>
      <c r="BJ24" s="2"/>
      <c r="BK24" s="2"/>
    </row>
    <row r="25" spans="2:63" x14ac:dyDescent="0.55000000000000004">
      <c r="B25" s="141" t="s">
        <v>119</v>
      </c>
      <c r="C25" s="2"/>
      <c r="D25" s="2"/>
      <c r="E25" s="2"/>
      <c r="F25" s="131" t="s">
        <v>120</v>
      </c>
      <c r="N25" s="2"/>
      <c r="O25" s="2"/>
      <c r="P25" s="2"/>
      <c r="Q25" s="2"/>
      <c r="S25" s="2"/>
      <c r="T25" s="2"/>
      <c r="U25" s="2"/>
      <c r="V25" s="2"/>
      <c r="W25" s="2"/>
      <c r="X25" s="2"/>
      <c r="Y25" s="2"/>
      <c r="Z25" s="2"/>
      <c r="AA25" s="128"/>
      <c r="AB25" s="128"/>
      <c r="AC25" s="128"/>
      <c r="AD25" s="128"/>
      <c r="AE25" s="128"/>
      <c r="AF25" s="128"/>
      <c r="AG25" s="128"/>
      <c r="AH25" s="128"/>
      <c r="AI25" s="128"/>
      <c r="AJ25" s="128"/>
      <c r="AK25" s="128"/>
      <c r="AL25" s="128"/>
      <c r="AM25" s="128"/>
      <c r="AN25" s="128"/>
      <c r="AO25" s="2"/>
      <c r="AP25" s="2"/>
      <c r="AQ25" s="2"/>
      <c r="AR25" s="2"/>
      <c r="AS25" s="2"/>
      <c r="AT25" s="2"/>
      <c r="AU25" s="2"/>
      <c r="AV25" s="2"/>
      <c r="AW25" s="2"/>
      <c r="AX25" s="2"/>
      <c r="AY25" s="2"/>
      <c r="AZ25" s="2"/>
      <c r="BA25" s="2"/>
      <c r="BB25" s="2"/>
      <c r="BC25" s="2"/>
      <c r="BD25" s="2"/>
      <c r="BE25" s="2"/>
      <c r="BF25" s="2"/>
      <c r="BG25" s="2"/>
      <c r="BH25" s="2"/>
      <c r="BI25" s="2"/>
      <c r="BJ25" s="2"/>
      <c r="BK25" s="2"/>
    </row>
    <row r="26" spans="2:63" x14ac:dyDescent="0.55000000000000004">
      <c r="B26" s="141" t="s">
        <v>453</v>
      </c>
      <c r="C26" s="2"/>
      <c r="D26" s="2"/>
      <c r="E26" s="2"/>
      <c r="F26" s="131" t="s">
        <v>124</v>
      </c>
      <c r="H26" s="106"/>
      <c r="N26" s="2"/>
      <c r="O26" s="2"/>
      <c r="P26" s="2"/>
      <c r="Q26" s="2"/>
      <c r="S26" s="2"/>
      <c r="T26" s="2"/>
      <c r="U26" s="2"/>
      <c r="V26" s="2"/>
      <c r="W26" s="2"/>
      <c r="X26" s="2"/>
      <c r="Y26" s="2"/>
      <c r="Z26" s="2"/>
      <c r="AA26" s="128"/>
      <c r="AB26" s="128"/>
      <c r="AC26" s="128"/>
      <c r="AD26" s="128"/>
      <c r="AE26" s="128"/>
      <c r="AF26" s="128"/>
      <c r="AG26" s="128"/>
      <c r="AH26" s="128"/>
      <c r="AI26" s="128"/>
      <c r="AJ26" s="128"/>
      <c r="AK26" s="128"/>
      <c r="AL26" s="128"/>
      <c r="AM26" s="128"/>
      <c r="AN26" s="128"/>
      <c r="AO26" s="2"/>
      <c r="AP26" s="2"/>
      <c r="AQ26" s="2"/>
      <c r="AR26" s="2"/>
      <c r="AS26" s="2"/>
      <c r="AT26" s="2"/>
      <c r="AU26" s="2"/>
      <c r="AV26" s="2"/>
      <c r="AW26" s="2"/>
      <c r="AX26" s="2"/>
      <c r="AY26" s="2"/>
      <c r="AZ26" s="2"/>
      <c r="BA26" s="2"/>
      <c r="BB26" s="2"/>
      <c r="BC26" s="2"/>
      <c r="BD26" s="2"/>
      <c r="BE26" s="2"/>
      <c r="BF26" s="2"/>
      <c r="BG26" s="2"/>
      <c r="BH26" s="2"/>
      <c r="BI26" s="2"/>
      <c r="BJ26" s="2"/>
      <c r="BK26" s="2"/>
    </row>
    <row r="27" spans="2:63" x14ac:dyDescent="0.55000000000000004">
      <c r="B27" s="141" t="s">
        <v>133</v>
      </c>
      <c r="C27" s="2"/>
      <c r="D27" s="2"/>
      <c r="E27" s="2"/>
      <c r="F27" s="131" t="s">
        <v>120</v>
      </c>
      <c r="H27" s="106"/>
      <c r="N27" s="2"/>
      <c r="O27" s="2"/>
      <c r="P27" s="2"/>
      <c r="Q27" s="2"/>
      <c r="S27" s="2"/>
      <c r="T27" s="2"/>
      <c r="U27" s="2"/>
      <c r="V27" s="2"/>
      <c r="W27" s="2"/>
      <c r="X27" s="2"/>
      <c r="Y27" s="2"/>
      <c r="Z27" s="2"/>
      <c r="AA27" s="128"/>
      <c r="AB27" s="128"/>
      <c r="AC27" s="128"/>
      <c r="AD27" s="128"/>
      <c r="AE27" s="128"/>
      <c r="AF27" s="128"/>
      <c r="AG27" s="128"/>
      <c r="AH27" s="128"/>
      <c r="AI27" s="128"/>
      <c r="AJ27" s="128"/>
      <c r="AK27" s="128"/>
      <c r="AL27" s="128"/>
      <c r="AM27" s="128"/>
      <c r="AN27" s="128"/>
      <c r="AO27" s="2"/>
      <c r="AP27" s="2"/>
      <c r="AQ27" s="2"/>
      <c r="AR27" s="2"/>
      <c r="AS27" s="2"/>
      <c r="AT27" s="2"/>
      <c r="AU27" s="2"/>
      <c r="AV27" s="2"/>
      <c r="AW27" s="2"/>
      <c r="AX27" s="2"/>
      <c r="AY27" s="2"/>
      <c r="AZ27" s="2"/>
      <c r="BA27" s="2"/>
      <c r="BB27" s="2"/>
      <c r="BC27" s="2"/>
      <c r="BD27" s="2"/>
      <c r="BE27" s="2"/>
      <c r="BF27" s="2"/>
      <c r="BG27" s="2"/>
      <c r="BH27" s="2"/>
      <c r="BI27" s="2"/>
      <c r="BJ27" s="2"/>
      <c r="BK27" s="2"/>
    </row>
    <row r="28" spans="2:63" x14ac:dyDescent="0.55000000000000004">
      <c r="B28" s="141" t="s">
        <v>135</v>
      </c>
      <c r="C28" s="2"/>
      <c r="D28" s="2"/>
      <c r="E28" s="2"/>
      <c r="F28" s="131" t="s">
        <v>124</v>
      </c>
      <c r="H28" s="106"/>
      <c r="N28" s="2"/>
      <c r="O28" s="2"/>
      <c r="P28" s="2"/>
      <c r="Q28" s="2"/>
      <c r="S28" s="2"/>
      <c r="T28" s="2"/>
      <c r="U28" s="2"/>
      <c r="V28" s="2"/>
      <c r="W28" s="2"/>
      <c r="X28" s="2"/>
      <c r="Y28" s="2"/>
      <c r="Z28" s="2"/>
      <c r="AA28" s="128"/>
      <c r="AB28" s="128"/>
      <c r="AC28" s="128"/>
      <c r="AD28" s="128"/>
      <c r="AE28" s="128"/>
      <c r="AF28" s="128"/>
      <c r="AG28" s="128"/>
      <c r="AH28" s="128"/>
      <c r="AI28" s="128"/>
      <c r="AJ28" s="128"/>
      <c r="AK28" s="128"/>
      <c r="AL28" s="128"/>
      <c r="AM28" s="128"/>
      <c r="AN28" s="128"/>
      <c r="AO28" s="2"/>
      <c r="AP28" s="2"/>
      <c r="AQ28" s="2"/>
      <c r="AR28" s="2"/>
      <c r="AS28" s="2"/>
      <c r="AT28" s="2"/>
      <c r="AU28" s="2"/>
      <c r="AV28" s="2"/>
      <c r="AW28" s="2"/>
      <c r="AX28" s="2"/>
      <c r="AY28" s="2"/>
      <c r="AZ28" s="2"/>
      <c r="BA28" s="2"/>
      <c r="BB28" s="2"/>
      <c r="BC28" s="2"/>
      <c r="BD28" s="2"/>
      <c r="BE28" s="2"/>
      <c r="BF28" s="2"/>
      <c r="BG28" s="2"/>
      <c r="BH28" s="2"/>
      <c r="BI28" s="2"/>
      <c r="BJ28" s="2"/>
      <c r="BK28" s="2"/>
    </row>
    <row r="29" spans="2:63" x14ac:dyDescent="0.55000000000000004">
      <c r="B29" s="141" t="s">
        <v>408</v>
      </c>
      <c r="C29" s="2"/>
      <c r="D29" s="2"/>
      <c r="E29" s="2"/>
      <c r="F29" s="131" t="s">
        <v>120</v>
      </c>
      <c r="H29" s="106"/>
      <c r="N29" s="2"/>
      <c r="O29" s="2"/>
      <c r="P29" s="2"/>
      <c r="Q29" s="2"/>
      <c r="S29" s="2"/>
      <c r="T29" s="2"/>
      <c r="U29" s="2"/>
      <c r="V29" s="2"/>
      <c r="W29" s="2"/>
      <c r="X29" s="2"/>
      <c r="Y29" s="2"/>
      <c r="Z29" s="2"/>
      <c r="AA29" s="128"/>
      <c r="AB29" s="128"/>
      <c r="AC29" s="128"/>
      <c r="AD29" s="128"/>
      <c r="AE29" s="128"/>
      <c r="AF29" s="128"/>
      <c r="AG29" s="128"/>
      <c r="AH29" s="128"/>
      <c r="AI29" s="128"/>
      <c r="AJ29" s="128"/>
      <c r="AK29" s="128"/>
      <c r="AL29" s="128"/>
      <c r="AM29" s="128"/>
      <c r="AN29" s="128"/>
      <c r="AO29" s="2"/>
      <c r="AP29" s="2"/>
      <c r="AQ29" s="2"/>
      <c r="AR29" s="2"/>
      <c r="AS29" s="2"/>
      <c r="AT29" s="2"/>
      <c r="AU29" s="2"/>
      <c r="AV29" s="2"/>
      <c r="AW29" s="2"/>
      <c r="AX29" s="2"/>
      <c r="AY29" s="2"/>
      <c r="AZ29" s="2"/>
      <c r="BA29" s="2"/>
      <c r="BB29" s="2"/>
      <c r="BC29" s="2"/>
      <c r="BD29" s="2"/>
      <c r="BE29" s="2"/>
      <c r="BF29" s="2"/>
      <c r="BG29" s="2"/>
      <c r="BH29" s="2"/>
      <c r="BI29" s="2"/>
      <c r="BJ29" s="2"/>
      <c r="BK29" s="2"/>
    </row>
    <row r="30" spans="2:63" x14ac:dyDescent="0.55000000000000004">
      <c r="H30" s="106"/>
      <c r="J30" s="2"/>
      <c r="K30" s="2"/>
      <c r="N30" s="2"/>
      <c r="O30" s="2"/>
      <c r="P30" s="2"/>
      <c r="Q30" s="2"/>
      <c r="S30" s="2"/>
      <c r="T30" s="2"/>
      <c r="U30" s="2"/>
      <c r="V30" s="2"/>
      <c r="W30" s="2"/>
      <c r="X30" s="2"/>
      <c r="Y30" s="2"/>
      <c r="Z30" s="2"/>
      <c r="AA30" s="22"/>
      <c r="AB30" s="2"/>
      <c r="AC30" s="2"/>
      <c r="AD30" s="2"/>
      <c r="AE30" s="2"/>
      <c r="AF30" s="2"/>
      <c r="AG30" s="21"/>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row>
    <row r="31" spans="2:63" x14ac:dyDescent="0.55000000000000004">
      <c r="H31" s="106"/>
      <c r="J31" s="2"/>
      <c r="K31" s="2"/>
      <c r="N31" s="2"/>
      <c r="O31" s="2"/>
      <c r="P31" s="2"/>
      <c r="Q31" s="2"/>
      <c r="S31" s="2"/>
      <c r="T31" s="2"/>
      <c r="U31" s="2"/>
      <c r="V31" s="2"/>
      <c r="W31" s="2"/>
      <c r="X31" s="2"/>
      <c r="Y31" s="2"/>
      <c r="Z31" s="2"/>
      <c r="AA31" s="22"/>
      <c r="AB31" s="2"/>
      <c r="AC31" s="2"/>
      <c r="AD31" s="2"/>
      <c r="AE31" s="2"/>
      <c r="AF31" s="2"/>
      <c r="AG31" s="21"/>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row>
    <row r="32" spans="2:63" x14ac:dyDescent="0.55000000000000004">
      <c r="H32" s="106"/>
      <c r="J32" s="2"/>
      <c r="K32" s="2"/>
      <c r="N32" s="2"/>
      <c r="O32" s="2"/>
      <c r="P32" s="2"/>
      <c r="Q32" s="2"/>
      <c r="S32" s="2"/>
      <c r="T32" s="2"/>
      <c r="U32" s="2"/>
      <c r="V32" s="2"/>
      <c r="W32" s="2"/>
      <c r="X32" s="2"/>
      <c r="Y32" s="2"/>
      <c r="Z32" s="2"/>
      <c r="AA32" s="22"/>
      <c r="AB32" s="2"/>
      <c r="AC32" s="2"/>
      <c r="AD32" s="2"/>
      <c r="AE32" s="2"/>
      <c r="AF32" s="2"/>
      <c r="AG32" s="21"/>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row>
    <row r="33" spans="1:63" x14ac:dyDescent="0.55000000000000004">
      <c r="H33" s="106"/>
      <c r="J33" s="2"/>
      <c r="K33" s="2"/>
      <c r="N33" s="2"/>
      <c r="O33" s="2"/>
      <c r="P33" s="2"/>
      <c r="Q33" s="2"/>
      <c r="S33" s="2"/>
      <c r="T33" s="2"/>
      <c r="U33" s="2"/>
      <c r="V33" s="2"/>
      <c r="W33" s="2"/>
      <c r="X33" s="2"/>
      <c r="Y33" s="2"/>
      <c r="Z33" s="2"/>
      <c r="AA33" s="22"/>
      <c r="AB33" s="2"/>
      <c r="AC33" s="2"/>
      <c r="AD33" s="2"/>
      <c r="AE33" s="2"/>
      <c r="AF33" s="2"/>
      <c r="AG33" s="21"/>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row>
    <row r="34" spans="1:63" ht="18.3" x14ac:dyDescent="0.55000000000000004">
      <c r="A34" s="2"/>
      <c r="B34" s="144" t="s">
        <v>171</v>
      </c>
      <c r="C34" s="108"/>
      <c r="D34" s="109"/>
      <c r="H34" s="106"/>
      <c r="J34" s="2"/>
      <c r="K34" s="2"/>
      <c r="N34" s="2"/>
      <c r="O34" s="2"/>
      <c r="P34" s="2"/>
      <c r="Q34" s="2"/>
      <c r="S34" s="2"/>
      <c r="T34" s="2"/>
      <c r="U34" s="2"/>
      <c r="V34" s="2"/>
      <c r="W34" s="2"/>
      <c r="X34" s="2"/>
      <c r="Y34" s="2"/>
      <c r="Z34" s="2"/>
      <c r="AA34" s="22"/>
      <c r="AB34" s="2"/>
      <c r="AC34" s="2"/>
      <c r="AD34" s="2"/>
      <c r="AE34" s="2"/>
      <c r="AF34" s="2"/>
      <c r="AG34" s="21"/>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row>
    <row r="35" spans="1:63" outlineLevel="1" x14ac:dyDescent="0.55000000000000004">
      <c r="D35" s="2"/>
      <c r="E35" s="2"/>
      <c r="F35" s="2"/>
      <c r="G35" s="2"/>
      <c r="H35" s="2"/>
      <c r="I35" s="2"/>
      <c r="J35" s="2"/>
      <c r="K35" s="2"/>
      <c r="L35" s="2"/>
      <c r="M35" s="2"/>
      <c r="N35" s="2"/>
      <c r="O35" s="2"/>
      <c r="P35" s="2"/>
      <c r="Q35" s="2"/>
      <c r="R35" s="2"/>
      <c r="S35" s="2"/>
      <c r="T35" s="2"/>
      <c r="U35" s="2"/>
      <c r="V35" s="2"/>
      <c r="W35" s="2"/>
      <c r="X35" s="45"/>
      <c r="Y35" s="46"/>
      <c r="Z35" s="2"/>
      <c r="AA35" s="2"/>
      <c r="AB35" s="2"/>
      <c r="AC35" s="2"/>
      <c r="AD35" s="2"/>
      <c r="AE35" s="2"/>
      <c r="AF35" s="2"/>
      <c r="AG35" s="21"/>
      <c r="AH35" s="2"/>
      <c r="AI35" s="2"/>
      <c r="AJ35" s="2"/>
      <c r="AK35" s="2"/>
      <c r="AL35" s="2"/>
    </row>
    <row r="36" spans="1:63" ht="19.899999999999999" customHeight="1" outlineLevel="1" x14ac:dyDescent="0.55000000000000004">
      <c r="B36" s="173" t="s">
        <v>68</v>
      </c>
      <c r="C36" s="173"/>
      <c r="D36" s="173"/>
      <c r="E36" s="2"/>
      <c r="F36" s="174" t="s">
        <v>129</v>
      </c>
      <c r="G36" s="174"/>
      <c r="H36" s="174"/>
      <c r="I36" s="2"/>
      <c r="J36" s="174" t="s">
        <v>70</v>
      </c>
      <c r="K36" s="174"/>
      <c r="L36" s="174"/>
      <c r="M36" s="174"/>
      <c r="N36" s="2"/>
      <c r="O36" s="174" t="s">
        <v>39</v>
      </c>
      <c r="P36" s="174"/>
      <c r="Q36" s="174"/>
      <c r="R36" s="174"/>
      <c r="S36" s="2"/>
      <c r="T36" s="170" t="s">
        <v>474</v>
      </c>
      <c r="U36" s="170"/>
      <c r="W36" s="171" t="s">
        <v>32</v>
      </c>
      <c r="X36" s="171"/>
      <c r="Y36" s="171"/>
      <c r="Z36" s="171"/>
      <c r="AA36" s="171"/>
      <c r="AB36" s="171"/>
      <c r="AC36" s="2"/>
      <c r="AD36" s="171" t="s">
        <v>33</v>
      </c>
      <c r="AE36" s="171"/>
      <c r="AF36" s="171"/>
      <c r="AG36" s="171"/>
      <c r="AH36" s="171"/>
      <c r="AI36" s="171"/>
      <c r="AJ36" s="21"/>
      <c r="AK36" s="171" t="s">
        <v>154</v>
      </c>
      <c r="AL36" s="171"/>
      <c r="AM36" s="19"/>
      <c r="AN36" s="171" t="s">
        <v>340</v>
      </c>
      <c r="AO36" s="171"/>
    </row>
    <row r="37" spans="1:63" ht="30.6" customHeight="1" outlineLevel="1" x14ac:dyDescent="0.55000000000000004">
      <c r="B37" s="146" t="s">
        <v>149</v>
      </c>
      <c r="C37" s="146" t="s">
        <v>10</v>
      </c>
      <c r="D37" s="78" t="s">
        <v>126</v>
      </c>
      <c r="E37" s="13"/>
      <c r="F37" s="82" t="s">
        <v>129</v>
      </c>
      <c r="G37" s="82" t="s">
        <v>158</v>
      </c>
      <c r="H37" s="134" t="s">
        <v>2</v>
      </c>
      <c r="I37" s="2"/>
      <c r="J37" s="88" t="s">
        <v>127</v>
      </c>
      <c r="K37" s="88" t="s">
        <v>37</v>
      </c>
      <c r="L37" s="48" t="s">
        <v>131</v>
      </c>
      <c r="M37" s="134" t="s">
        <v>2</v>
      </c>
      <c r="N37" s="13"/>
      <c r="O37" s="91" t="s">
        <v>128</v>
      </c>
      <c r="P37" s="91" t="s">
        <v>37</v>
      </c>
      <c r="Q37" s="92" t="s">
        <v>132</v>
      </c>
      <c r="R37" s="134" t="s">
        <v>2</v>
      </c>
      <c r="S37" s="55"/>
      <c r="T37" s="91" t="s">
        <v>159</v>
      </c>
      <c r="U37" s="91" t="s">
        <v>37</v>
      </c>
      <c r="W37" s="53" t="s">
        <v>12</v>
      </c>
      <c r="X37" s="53" t="s">
        <v>35</v>
      </c>
      <c r="Y37" s="53" t="s">
        <v>36</v>
      </c>
      <c r="Z37" s="53" t="s">
        <v>42</v>
      </c>
      <c r="AA37" s="56" t="s">
        <v>121</v>
      </c>
      <c r="AB37" s="53" t="s">
        <v>1</v>
      </c>
      <c r="AC37" s="55"/>
      <c r="AD37" s="53" t="s">
        <v>12</v>
      </c>
      <c r="AE37" s="53" t="s">
        <v>35</v>
      </c>
      <c r="AF37" s="53" t="s">
        <v>36</v>
      </c>
      <c r="AG37" s="56" t="s">
        <v>42</v>
      </c>
      <c r="AH37" s="56" t="s">
        <v>121</v>
      </c>
      <c r="AI37" s="53" t="s">
        <v>1</v>
      </c>
      <c r="AJ37" s="57"/>
      <c r="AK37" s="58" t="s">
        <v>3</v>
      </c>
      <c r="AL37" s="58" t="s">
        <v>0</v>
      </c>
      <c r="AM37" s="19"/>
      <c r="AN37" s="76" t="s">
        <v>46</v>
      </c>
      <c r="AO37" s="76" t="s">
        <v>150</v>
      </c>
      <c r="AP37" s="19"/>
      <c r="AQ37" s="19"/>
      <c r="AR37" s="19"/>
      <c r="AS37" s="19"/>
    </row>
    <row r="38" spans="1:63" s="19" customFormat="1" outlineLevel="1" x14ac:dyDescent="0.55000000000000004">
      <c r="B38" s="15" t="s">
        <v>176</v>
      </c>
      <c r="C38" s="15" t="s">
        <v>177</v>
      </c>
      <c r="D38" s="16" t="s">
        <v>178</v>
      </c>
      <c r="E38" s="20"/>
      <c r="F38" s="83" t="s">
        <v>179</v>
      </c>
      <c r="G38" s="83" t="s">
        <v>180</v>
      </c>
      <c r="H38" s="18" t="s">
        <v>181</v>
      </c>
      <c r="I38" s="23"/>
      <c r="J38" s="18" t="s">
        <v>182</v>
      </c>
      <c r="K38" s="18" t="s">
        <v>183</v>
      </c>
      <c r="L38" s="18" t="s">
        <v>187</v>
      </c>
      <c r="M38" s="17" t="s">
        <v>188</v>
      </c>
      <c r="N38" s="20"/>
      <c r="O38" s="17" t="s">
        <v>189</v>
      </c>
      <c r="P38" s="17" t="s">
        <v>190</v>
      </c>
      <c r="Q38" s="17" t="s">
        <v>191</v>
      </c>
      <c r="R38" s="143" t="s">
        <v>192</v>
      </c>
      <c r="S38" s="61"/>
      <c r="T38" s="17" t="s">
        <v>193</v>
      </c>
      <c r="U38" s="17" t="s">
        <v>194</v>
      </c>
      <c r="W38" s="60" t="s">
        <v>195</v>
      </c>
      <c r="X38" s="60" t="s">
        <v>196</v>
      </c>
      <c r="Y38" s="60" t="s">
        <v>197</v>
      </c>
      <c r="Z38" s="60" t="s">
        <v>198</v>
      </c>
      <c r="AA38" s="60" t="s">
        <v>199</v>
      </c>
      <c r="AB38" s="60" t="s">
        <v>200</v>
      </c>
      <c r="AC38" s="61"/>
      <c r="AD38" s="60" t="s">
        <v>201</v>
      </c>
      <c r="AE38" s="60" t="s">
        <v>202</v>
      </c>
      <c r="AF38" s="60" t="s">
        <v>203</v>
      </c>
      <c r="AG38" s="60" t="s">
        <v>204</v>
      </c>
      <c r="AH38" s="60" t="s">
        <v>205</v>
      </c>
      <c r="AI38" s="60" t="s">
        <v>206</v>
      </c>
      <c r="AJ38" s="62"/>
      <c r="AK38" s="60" t="s">
        <v>207</v>
      </c>
      <c r="AL38" s="60" t="s">
        <v>208</v>
      </c>
      <c r="AN38" s="60" t="s">
        <v>209</v>
      </c>
      <c r="AO38" s="60" t="s">
        <v>210</v>
      </c>
    </row>
    <row r="39" spans="1:63" outlineLevel="1" x14ac:dyDescent="0.55000000000000004">
      <c r="B39" s="1"/>
      <c r="C39" s="3">
        <v>0</v>
      </c>
      <c r="D39" s="87">
        <v>1</v>
      </c>
      <c r="E39" s="2"/>
      <c r="F39" s="84">
        <v>1</v>
      </c>
      <c r="G39" s="84"/>
      <c r="H39" s="5"/>
      <c r="I39" s="2"/>
      <c r="J39" s="2"/>
      <c r="K39" s="2"/>
      <c r="L39" s="55"/>
      <c r="M39" s="55"/>
      <c r="N39" s="2"/>
      <c r="O39" s="10"/>
      <c r="P39" s="10"/>
      <c r="Q39" s="49"/>
      <c r="R39" s="55"/>
      <c r="S39" s="55"/>
      <c r="T39" s="2"/>
      <c r="U39" s="2"/>
      <c r="W39" s="63">
        <f>IFERROR(IF(C39&gt;=$F$7*4,0,-IF($F$22="pattern",U40*$F$21,IF(AND($F$22="single",C39=0),$F$21,IF(AND($F$22="annual",MOD(C39,4)=0),$F$21/$F$7,IF(AND($F$22="semi-ann",MOD(C39,2)=0),$F$21/(2*$F$7),IF($F$22="quarterly",$F$21/(4*$F$7),0)))))*F39),0)</f>
        <v>-450000</v>
      </c>
      <c r="X39" s="63"/>
      <c r="Y39" s="63"/>
      <c r="Z39" s="63">
        <f>-$F$13*$F$21</f>
        <v>-900000</v>
      </c>
      <c r="AA39" s="63"/>
      <c r="AB39" s="64">
        <f t="shared" ref="AB39:AB59" si="0">SUM(W39:AA39)</f>
        <v>-1350000</v>
      </c>
      <c r="AC39" s="55"/>
      <c r="AD39" s="64">
        <f t="shared" ref="AD39:AD59" si="1">W39*$D39</f>
        <v>-450000</v>
      </c>
      <c r="AE39" s="64"/>
      <c r="AF39" s="64"/>
      <c r="AG39" s="64">
        <f t="shared" ref="AG39:AG59" si="2">Z39*$D39</f>
        <v>-900000</v>
      </c>
      <c r="AH39" s="64"/>
      <c r="AI39" s="64">
        <f t="shared" ref="AI39:AI59" si="3">SUM(AD39:AH39)</f>
        <v>-1350000</v>
      </c>
      <c r="AJ39" s="57"/>
      <c r="AK39" s="51">
        <f ca="1">SUM(AD39:AD$59,AG39:AG$59)/D39+SUM(AE40:AF$60,AH40:AH$59)/D39</f>
        <v>-2414506.7984146737</v>
      </c>
      <c r="AL39" s="51">
        <f>SUM(AE40:$AF$60)*$F$14/D39</f>
        <v>192771.74574995536</v>
      </c>
      <c r="AM39" s="19"/>
      <c r="AN39" s="51">
        <f ca="1">-SUM(AD39:$AD$60,AH39:$AH$60)/D39</f>
        <v>5369941.7134137806</v>
      </c>
      <c r="AO39" s="51">
        <f ca="1">-SUM(W39:$W$60,AA39:$AA$60)</f>
        <v>5575985.4732461255</v>
      </c>
      <c r="AP39" s="19"/>
      <c r="AQ39" s="19"/>
      <c r="AR39" s="19"/>
      <c r="AS39" s="19"/>
    </row>
    <row r="40" spans="1:63" outlineLevel="1" x14ac:dyDescent="0.55000000000000004">
      <c r="A40" s="9"/>
      <c r="B40" s="1" t="s">
        <v>6</v>
      </c>
      <c r="C40" s="3">
        <v>1</v>
      </c>
      <c r="D40" s="87">
        <f t="shared" ref="D40:D59" si="4">D39/(1+$F$17)^(1/4)</f>
        <v>0.99506157747984325</v>
      </c>
      <c r="E40" s="4"/>
      <c r="F40" s="84">
        <f t="shared" ref="F40:F51" si="5">(1-$F$19)^(C40/4)</f>
        <v>0.94574160900317583</v>
      </c>
      <c r="G40" s="84">
        <f>AVERAGE(F39:F40)</f>
        <v>0.97287080450158792</v>
      </c>
      <c r="H40" s="84">
        <f>F40*D40</f>
        <v>0.94107113734302528</v>
      </c>
      <c r="I40" s="4"/>
      <c r="J40" s="98">
        <v>1</v>
      </c>
      <c r="K40" s="94">
        <f t="shared" ref="K40:K51" si="6">J40/$J$62</f>
        <v>0.05</v>
      </c>
      <c r="L40" s="47">
        <f>J40*G40</f>
        <v>0.97287080450158792</v>
      </c>
      <c r="M40" s="47">
        <f>L40*D40</f>
        <v>0.96806635741143421</v>
      </c>
      <c r="N40" s="4"/>
      <c r="O40" s="98">
        <v>1</v>
      </c>
      <c r="P40" s="94">
        <f t="shared" ref="P40:P51" si="7">O40/$O$62</f>
        <v>0.05</v>
      </c>
      <c r="Q40" s="47">
        <f>O40*G40</f>
        <v>0.97287080450158792</v>
      </c>
      <c r="R40" s="47">
        <f>Q40*D40</f>
        <v>0.96806635741143421</v>
      </c>
      <c r="T40" s="131">
        <v>0.20282873599525819</v>
      </c>
      <c r="U40" s="136">
        <f>T40/$T$62</f>
        <v>0.20282873599525819</v>
      </c>
      <c r="W40" s="63">
        <f t="shared" ref="W40:W59" si="8">IFERROR(IF(C40&gt;=$F$7*4,0,-IF($F$22="pattern",U41*$F$21,IF(AND($F$22="single",C40=0),$F$21,IF(AND($F$22="annual",MOD(C40,4)=0),$F$21/$F$7,IF(AND($F$22="semi-ann",MOD(C40,2)=0),$F$21/(2*$F$7),IF($F$22="quarterly",$F$21/(4*$F$7),0)))))*F40),0)</f>
        <v>-425583.72405142913</v>
      </c>
      <c r="X40" s="63">
        <f t="shared" ref="X40:X59" si="9">$F$21*$F$11*P40*((1+$F$18)^(C40/4))*F40</f>
        <v>255986.22997766148</v>
      </c>
      <c r="Y40" s="63">
        <f t="shared" ref="Y40:Y59" si="10">$F$21*$F$12*IF($F$28="risk",P40*F40,IF($F$28="policies IF",F40/($F$7*4),1/($F$7*4)))</f>
        <v>63837.558607714374</v>
      </c>
      <c r="Z40" s="63">
        <v>0</v>
      </c>
      <c r="AA40" s="63">
        <f t="shared" ref="AA40:AA59" ca="1" si="11">IF($F$25="no",0,1)*(F40-F39)*OFFSET(W40,-IF($F$22="single",C40,IF($F$22="annual",MOD(C40,4),IF($F$22="semi-ann",MOD(C40,2),0))),0)*IF($F$22="single",($F$7*4-C40)/($F$7*4),IF(AND($F$22="annual",MOD(C40,4)&lt;&gt;0),(4-MOD(C40,4))/4,IF(AND($F$22="semi-ann",MOD(C40,2)&lt;&gt;0),0.5,0)))</f>
        <v>0</v>
      </c>
      <c r="AB40" s="64">
        <f t="shared" ca="1" si="0"/>
        <v>-105759.93546605328</v>
      </c>
      <c r="AC40" s="51"/>
      <c r="AD40" s="51">
        <f t="shared" si="1"/>
        <v>-423482.01180436136</v>
      </c>
      <c r="AE40" s="64">
        <f t="shared" ref="AE40:AE59" si="12">X40*$D40</f>
        <v>254722.06181468978</v>
      </c>
      <c r="AF40" s="64">
        <f t="shared" ref="AF40:AF59" si="13">Y40*$D40</f>
        <v>63522.301770654209</v>
      </c>
      <c r="AG40" s="51">
        <f t="shared" si="2"/>
        <v>0</v>
      </c>
      <c r="AH40" s="64">
        <f t="shared" ref="AH40:AH59" ca="1" si="14">AA40*$D40</f>
        <v>0</v>
      </c>
      <c r="AI40" s="64">
        <f t="shared" ca="1" si="3"/>
        <v>-105237.64821901737</v>
      </c>
      <c r="AJ40" s="11"/>
      <c r="AK40" s="51">
        <f ca="1">SUM(AD40:AD$59,AG40:AG$59)/D40+SUM(AE41:AF$60,AH41:AH$59)/D40</f>
        <v>-1389613.6613997919</v>
      </c>
      <c r="AL40" s="51">
        <f>SUM(AE41:$AF$60)*$F$14/D40</f>
        <v>177737.26930409065</v>
      </c>
      <c r="AM40" s="19"/>
      <c r="AN40" s="51">
        <f ca="1">-SUM(AD40:$AD$60,AH40:$AH$60)/D40</f>
        <v>4944359.0474816049</v>
      </c>
      <c r="AO40" s="51">
        <f ca="1">-SUM(W40:$W$60,AA40:$AA$60)</f>
        <v>5125985.4732461255</v>
      </c>
      <c r="AP40" s="19"/>
      <c r="AQ40" s="127"/>
      <c r="AR40" s="19"/>
      <c r="AS40" s="19"/>
    </row>
    <row r="41" spans="1:63" outlineLevel="1" x14ac:dyDescent="0.55000000000000004">
      <c r="A41" s="9"/>
      <c r="B41" s="1" t="s">
        <v>7</v>
      </c>
      <c r="C41" s="3">
        <v>2</v>
      </c>
      <c r="D41" s="87">
        <f t="shared" si="4"/>
        <v>0.99014754297667418</v>
      </c>
      <c r="E41" s="4"/>
      <c r="F41" s="84">
        <f t="shared" si="5"/>
        <v>0.89442719099991586</v>
      </c>
      <c r="G41" s="84">
        <f t="shared" ref="G41:G51" si="15">AVERAGE(F40:F41)</f>
        <v>0.92008440000154579</v>
      </c>
      <c r="H41" s="84">
        <f t="shared" ref="H41:H51" si="16">F41*D41</f>
        <v>0.88561488554009515</v>
      </c>
      <c r="I41" s="4"/>
      <c r="J41" s="98">
        <v>1</v>
      </c>
      <c r="K41" s="94">
        <f t="shared" si="6"/>
        <v>0.05</v>
      </c>
      <c r="L41" s="47">
        <f t="shared" ref="L41:L51" si="17">J41*G41</f>
        <v>0.92008440000154579</v>
      </c>
      <c r="M41" s="47">
        <f t="shared" ref="M41:M51" si="18">L41*D41</f>
        <v>0.91101930799269804</v>
      </c>
      <c r="N41" s="4"/>
      <c r="O41" s="98">
        <v>1</v>
      </c>
      <c r="P41" s="94">
        <f t="shared" si="7"/>
        <v>0.05</v>
      </c>
      <c r="Q41" s="47">
        <f t="shared" ref="Q41:Q51" si="19">O41*G41</f>
        <v>0.92008440000154579</v>
      </c>
      <c r="R41" s="47">
        <f t="shared" ref="R41:R51" si="20">Q41*D41</f>
        <v>0.91101930799269804</v>
      </c>
      <c r="S41" s="51"/>
      <c r="T41" s="131">
        <v>0.17818906429460918</v>
      </c>
      <c r="U41" s="136">
        <f t="shared" ref="U41:U59" si="21">T41/$T$62</f>
        <v>0.17818906429460918</v>
      </c>
      <c r="W41" s="63">
        <f t="shared" si="8"/>
        <v>-402492.23594996211</v>
      </c>
      <c r="X41" s="63">
        <f t="shared" si="9"/>
        <v>242699.81458583768</v>
      </c>
      <c r="Y41" s="63">
        <f t="shared" si="10"/>
        <v>60373.835392494322</v>
      </c>
      <c r="Z41" s="63">
        <v>0</v>
      </c>
      <c r="AA41" s="63">
        <f t="shared" ca="1" si="11"/>
        <v>0</v>
      </c>
      <c r="AB41" s="64">
        <f t="shared" ca="1" si="0"/>
        <v>-99418.585971630106</v>
      </c>
      <c r="AC41" s="51"/>
      <c r="AD41" s="51">
        <f t="shared" si="1"/>
        <v>-398526.69849304279</v>
      </c>
      <c r="AE41" s="64">
        <f t="shared" si="12"/>
        <v>240308.62509306156</v>
      </c>
      <c r="AF41" s="64">
        <f t="shared" si="13"/>
        <v>59779.004773956425</v>
      </c>
      <c r="AG41" s="51">
        <f t="shared" si="2"/>
        <v>0</v>
      </c>
      <c r="AH41" s="64">
        <f t="shared" ca="1" si="14"/>
        <v>0</v>
      </c>
      <c r="AI41" s="64">
        <f t="shared" ca="1" si="3"/>
        <v>-98439.068626024789</v>
      </c>
      <c r="AJ41" s="57"/>
      <c r="AK41" s="51">
        <f ca="1">SUM(AD41:AD$59,AG41:AG$59)/D41+SUM(AE42:AF$60,AH42:AH$59)/D41</f>
        <v>-1271888.0019402746</v>
      </c>
      <c r="AL41" s="51">
        <f>SUM(AE42:$AF$60)*$F$14/D41</f>
        <v>163465.68471073834</v>
      </c>
      <c r="AM41" s="19"/>
      <c r="AN41" s="51">
        <f ca="1">-SUM(AD41:$AD$60,AH41:$AH$60)/D41</f>
        <v>4541201.6961550415</v>
      </c>
      <c r="AO41" s="51">
        <f ca="1">-SUM(W41:$W$60,AA41:$AA$60)</f>
        <v>4700401.7491946965</v>
      </c>
      <c r="AP41" s="19"/>
      <c r="AQ41" s="127"/>
      <c r="AR41" s="19"/>
      <c r="AS41" s="19"/>
    </row>
    <row r="42" spans="1:63" outlineLevel="1" x14ac:dyDescent="0.55000000000000004">
      <c r="A42" s="9"/>
      <c r="B42" s="1" t="s">
        <v>8</v>
      </c>
      <c r="C42" s="3">
        <v>3</v>
      </c>
      <c r="D42" s="87">
        <f t="shared" si="4"/>
        <v>0.98525777605216036</v>
      </c>
      <c r="E42" s="4"/>
      <c r="F42" s="84">
        <f>(1-$F$19)^(C42/4)</f>
        <v>0.84589701075245127</v>
      </c>
      <c r="G42" s="84">
        <f t="shared" si="15"/>
        <v>0.87016210087618351</v>
      </c>
      <c r="H42" s="84">
        <f t="shared" si="16"/>
        <v>0.83342660758313047</v>
      </c>
      <c r="I42" s="4"/>
      <c r="J42" s="98">
        <v>1</v>
      </c>
      <c r="K42" s="94">
        <f t="shared" si="6"/>
        <v>0.05</v>
      </c>
      <c r="L42" s="47">
        <f t="shared" si="17"/>
        <v>0.87016210087618351</v>
      </c>
      <c r="M42" s="47">
        <f t="shared" si="18"/>
        <v>0.85733397631414421</v>
      </c>
      <c r="N42" s="4"/>
      <c r="O42" s="98">
        <v>1</v>
      </c>
      <c r="P42" s="94">
        <f t="shared" si="7"/>
        <v>0.05</v>
      </c>
      <c r="Q42" s="47">
        <f t="shared" si="19"/>
        <v>0.87016210087618351</v>
      </c>
      <c r="R42" s="47">
        <f t="shared" si="20"/>
        <v>0.85733397631414421</v>
      </c>
      <c r="S42" s="51"/>
      <c r="T42" s="131">
        <v>0.20194032380116383</v>
      </c>
      <c r="U42" s="136">
        <f t="shared" si="21"/>
        <v>0.20194032380116383</v>
      </c>
      <c r="W42" s="63">
        <f t="shared" si="8"/>
        <v>-380653.65483860305</v>
      </c>
      <c r="X42" s="63">
        <f t="shared" si="9"/>
        <v>230103.00204483719</v>
      </c>
      <c r="Y42" s="63">
        <f t="shared" si="10"/>
        <v>57098.048225790466</v>
      </c>
      <c r="Z42" s="63">
        <v>0</v>
      </c>
      <c r="AA42" s="63">
        <f t="shared" ca="1" si="11"/>
        <v>0</v>
      </c>
      <c r="AB42" s="64">
        <f t="shared" ca="1" si="0"/>
        <v>-93452.604567975388</v>
      </c>
      <c r="AC42" s="51"/>
      <c r="AD42" s="51">
        <f t="shared" si="1"/>
        <v>-375041.97341240873</v>
      </c>
      <c r="AE42" s="64">
        <f t="shared" si="12"/>
        <v>226710.772057622</v>
      </c>
      <c r="AF42" s="64">
        <f t="shared" si="13"/>
        <v>56256.296011861312</v>
      </c>
      <c r="AG42" s="51">
        <f t="shared" si="2"/>
        <v>0</v>
      </c>
      <c r="AH42" s="64">
        <f t="shared" ca="1" si="14"/>
        <v>0</v>
      </c>
      <c r="AI42" s="64">
        <f t="shared" ca="1" si="3"/>
        <v>-92074.905342925413</v>
      </c>
      <c r="AJ42" s="57"/>
      <c r="AK42" s="51">
        <f ca="1">SUM(AD42:AD$59,AG42:AG$59)/D42+SUM(AE43:AF$60,AH43:AH$59)/D42</f>
        <v>-1160911.5679575843</v>
      </c>
      <c r="AL42" s="51">
        <f>SUM(AE43:$AF$60)*$F$14/D42</f>
        <v>149916.90120499325</v>
      </c>
      <c r="AM42" s="19"/>
      <c r="AN42" s="51">
        <f ca="1">-SUM(AD42:$AD$60,AH42:$AH$60)/D42</f>
        <v>4159249.5920574493</v>
      </c>
      <c r="AO42" s="51">
        <f ca="1">-SUM(W42:$W$60,AA42:$AA$60)</f>
        <v>4297909.5132447341</v>
      </c>
      <c r="AP42" s="19"/>
      <c r="AQ42" s="127"/>
      <c r="AR42" s="19"/>
      <c r="AS42" s="19"/>
    </row>
    <row r="43" spans="1:63" outlineLevel="1" x14ac:dyDescent="0.55000000000000004">
      <c r="A43" s="9"/>
      <c r="B43" s="1" t="s">
        <v>9</v>
      </c>
      <c r="C43" s="3">
        <v>4</v>
      </c>
      <c r="D43" s="87">
        <f t="shared" si="4"/>
        <v>0.98039215686274483</v>
      </c>
      <c r="E43" s="4"/>
      <c r="F43" s="84">
        <f t="shared" si="5"/>
        <v>0.8</v>
      </c>
      <c r="G43" s="84">
        <f t="shared" si="15"/>
        <v>0.82294850537622566</v>
      </c>
      <c r="H43" s="84">
        <f t="shared" si="16"/>
        <v>0.78431372549019596</v>
      </c>
      <c r="I43" s="4"/>
      <c r="J43" s="98">
        <v>1</v>
      </c>
      <c r="K43" s="94">
        <f t="shared" si="6"/>
        <v>0.05</v>
      </c>
      <c r="L43" s="47">
        <f t="shared" si="17"/>
        <v>0.82294850537622566</v>
      </c>
      <c r="M43" s="47">
        <f t="shared" si="18"/>
        <v>0.80681226017277008</v>
      </c>
      <c r="N43" s="4"/>
      <c r="O43" s="98">
        <v>1</v>
      </c>
      <c r="P43" s="94">
        <f t="shared" si="7"/>
        <v>0.05</v>
      </c>
      <c r="Q43" s="47">
        <f t="shared" si="19"/>
        <v>0.82294850537622566</v>
      </c>
      <c r="R43" s="47">
        <f t="shared" si="20"/>
        <v>0.80681226017277008</v>
      </c>
      <c r="S43" s="51"/>
      <c r="T43" s="131">
        <v>0.20709640104961757</v>
      </c>
      <c r="U43" s="136">
        <f t="shared" si="21"/>
        <v>0.20709640104961757</v>
      </c>
      <c r="W43" s="63">
        <f t="shared" si="8"/>
        <v>-360000</v>
      </c>
      <c r="X43" s="63">
        <f t="shared" si="9"/>
        <v>218160</v>
      </c>
      <c r="Y43" s="63">
        <f t="shared" si="10"/>
        <v>54000.000000000007</v>
      </c>
      <c r="Z43" s="63">
        <v>0</v>
      </c>
      <c r="AA43" s="63">
        <f t="shared" ca="1" si="11"/>
        <v>0</v>
      </c>
      <c r="AB43" s="64">
        <f t="shared" ca="1" si="0"/>
        <v>-87840</v>
      </c>
      <c r="AC43" s="51"/>
      <c r="AD43" s="51">
        <f t="shared" si="1"/>
        <v>-352941.17647058814</v>
      </c>
      <c r="AE43" s="64">
        <f t="shared" si="12"/>
        <v>213882.35294117642</v>
      </c>
      <c r="AF43" s="64">
        <f t="shared" si="13"/>
        <v>52941.176470588231</v>
      </c>
      <c r="AG43" s="51">
        <f t="shared" si="2"/>
        <v>0</v>
      </c>
      <c r="AH43" s="64">
        <f t="shared" ca="1" si="14"/>
        <v>0</v>
      </c>
      <c r="AI43" s="64">
        <f t="shared" ca="1" si="3"/>
        <v>-86117.647058823495</v>
      </c>
      <c r="AJ43" s="57"/>
      <c r="AK43" s="51">
        <f ca="1">SUM(AD43:AD$59,AG43:AG$59)/D43+SUM(AE44:AF$60,AH44:AH$59)/D43</f>
        <v>-1056290.2797512412</v>
      </c>
      <c r="AL43" s="51">
        <f>SUM(AE44:$AF$60)*$F$14/D43</f>
        <v>137052.92852734041</v>
      </c>
      <c r="AM43" s="19"/>
      <c r="AN43" s="51">
        <f ca="1">-SUM(AD43:$AD$60,AH43:$AH$60)/D43</f>
        <v>3797348.8502980489</v>
      </c>
      <c r="AO43" s="51">
        <f ca="1">-SUM(W43:$W$60,AA43:$AA$60)</f>
        <v>3917255.8584061307</v>
      </c>
      <c r="AP43" s="19"/>
      <c r="AQ43" s="127"/>
      <c r="AR43" s="19"/>
      <c r="AS43" s="19"/>
    </row>
    <row r="44" spans="1:63" outlineLevel="1" x14ac:dyDescent="0.55000000000000004">
      <c r="A44" s="9"/>
      <c r="B44" s="1" t="s">
        <v>16</v>
      </c>
      <c r="C44" s="3">
        <v>5</v>
      </c>
      <c r="D44" s="87">
        <f t="shared" si="4"/>
        <v>0.97555056615670888</v>
      </c>
      <c r="E44" s="4"/>
      <c r="F44" s="84">
        <f t="shared" si="5"/>
        <v>0.75659328720254071</v>
      </c>
      <c r="G44" s="84">
        <f t="shared" si="15"/>
        <v>0.77829664360127038</v>
      </c>
      <c r="H44" s="84">
        <f t="shared" si="16"/>
        <v>0.73809500968080399</v>
      </c>
      <c r="I44" s="4"/>
      <c r="J44" s="98">
        <v>1</v>
      </c>
      <c r="K44" s="94">
        <f t="shared" si="6"/>
        <v>0.05</v>
      </c>
      <c r="L44" s="47">
        <f t="shared" si="17"/>
        <v>0.77829664360127038</v>
      </c>
      <c r="M44" s="47">
        <f t="shared" si="18"/>
        <v>0.75926773130308556</v>
      </c>
      <c r="N44" s="4"/>
      <c r="O44" s="98">
        <v>1</v>
      </c>
      <c r="P44" s="94">
        <f t="shared" si="7"/>
        <v>0.05</v>
      </c>
      <c r="Q44" s="47">
        <f t="shared" si="19"/>
        <v>0.77829664360127038</v>
      </c>
      <c r="R44" s="47">
        <f t="shared" si="20"/>
        <v>0.75926773130308556</v>
      </c>
      <c r="S44" s="51"/>
      <c r="T44" s="131">
        <v>8.3175297485096111E-2</v>
      </c>
      <c r="U44" s="136">
        <f t="shared" si="21"/>
        <v>8.3175297485096111E-2</v>
      </c>
      <c r="W44" s="63">
        <f t="shared" si="8"/>
        <v>-340466.97924114333</v>
      </c>
      <c r="X44" s="63">
        <f t="shared" si="9"/>
        <v>206836.87382195049</v>
      </c>
      <c r="Y44" s="63">
        <f t="shared" si="10"/>
        <v>51070.046886171498</v>
      </c>
      <c r="Z44" s="63">
        <v>0</v>
      </c>
      <c r="AA44" s="63">
        <f t="shared" ca="1" si="11"/>
        <v>0</v>
      </c>
      <c r="AB44" s="64">
        <f t="shared" ca="1" si="0"/>
        <v>-82560.058533021336</v>
      </c>
      <c r="AC44" s="51"/>
      <c r="AD44" s="51">
        <f t="shared" si="1"/>
        <v>-332142.75435636181</v>
      </c>
      <c r="AE44" s="64">
        <f t="shared" si="12"/>
        <v>201779.82935908757</v>
      </c>
      <c r="AF44" s="64">
        <f t="shared" si="13"/>
        <v>49821.413153454276</v>
      </c>
      <c r="AG44" s="51">
        <f t="shared" si="2"/>
        <v>0</v>
      </c>
      <c r="AH44" s="64">
        <f t="shared" ca="1" si="14"/>
        <v>0</v>
      </c>
      <c r="AI44" s="64">
        <f t="shared" ca="1" si="3"/>
        <v>-80541.511843819957</v>
      </c>
      <c r="AJ44" s="57"/>
      <c r="AK44" s="51">
        <f ca="1">SUM(AD44:AD$59,AG44:AG$59)/D44+SUM(AE45:AF$60,AH45:AH$59)/D44</f>
        <v>-957652.8414728553</v>
      </c>
      <c r="AL44" s="51">
        <f>SUM(AE45:$AF$60)*$F$14/D44</f>
        <v>124837.76679812268</v>
      </c>
      <c r="AM44" s="19"/>
      <c r="AN44" s="51">
        <f ca="1">-SUM(AD44:$AD$60,AH44:$AH$60)/D44</f>
        <v>3454408.1774353087</v>
      </c>
      <c r="AO44" s="51">
        <f ca="1">-SUM(W44:$W$60,AA44:$AA$60)</f>
        <v>3557255.8584061312</v>
      </c>
      <c r="AP44" s="19"/>
      <c r="AQ44" s="127"/>
      <c r="AR44" s="19"/>
      <c r="AS44" s="19"/>
    </row>
    <row r="45" spans="1:63" outlineLevel="1" x14ac:dyDescent="0.55000000000000004">
      <c r="A45" s="9"/>
      <c r="B45" s="1" t="s">
        <v>17</v>
      </c>
      <c r="C45" s="3">
        <v>6</v>
      </c>
      <c r="D45" s="87">
        <f t="shared" si="4"/>
        <v>0.9707328852712489</v>
      </c>
      <c r="E45" s="4"/>
      <c r="F45" s="84">
        <f t="shared" si="5"/>
        <v>0.71554175279993271</v>
      </c>
      <c r="G45" s="84">
        <f t="shared" si="15"/>
        <v>0.73606752000123676</v>
      </c>
      <c r="H45" s="84">
        <f t="shared" si="16"/>
        <v>0.69459991022752543</v>
      </c>
      <c r="I45" s="4"/>
      <c r="J45" s="98">
        <v>1</v>
      </c>
      <c r="K45" s="94">
        <f t="shared" si="6"/>
        <v>0.05</v>
      </c>
      <c r="L45" s="47">
        <f t="shared" si="17"/>
        <v>0.73606752000123676</v>
      </c>
      <c r="M45" s="47">
        <f t="shared" si="18"/>
        <v>0.7145249474452533</v>
      </c>
      <c r="N45" s="4"/>
      <c r="O45" s="98">
        <v>1</v>
      </c>
      <c r="P45" s="94">
        <f t="shared" si="7"/>
        <v>0.05</v>
      </c>
      <c r="Q45" s="47">
        <f t="shared" si="19"/>
        <v>0.73606752000123676</v>
      </c>
      <c r="R45" s="47">
        <f t="shared" si="20"/>
        <v>0.7145249474452533</v>
      </c>
      <c r="S45" s="51"/>
      <c r="T45" s="131">
        <v>5.1890782453176132E-2</v>
      </c>
      <c r="U45" s="136">
        <f t="shared" si="21"/>
        <v>5.1890782453176132E-2</v>
      </c>
      <c r="W45" s="63">
        <f t="shared" si="8"/>
        <v>-321993.7887599697</v>
      </c>
      <c r="X45" s="63">
        <f t="shared" si="9"/>
        <v>196101.45018535687</v>
      </c>
      <c r="Y45" s="63">
        <f t="shared" si="10"/>
        <v>48299.068313995464</v>
      </c>
      <c r="Z45" s="63">
        <v>0</v>
      </c>
      <c r="AA45" s="63">
        <f t="shared" ca="1" si="11"/>
        <v>0</v>
      </c>
      <c r="AB45" s="64">
        <f t="shared" ca="1" si="0"/>
        <v>-77593.27026061737</v>
      </c>
      <c r="AC45" s="51"/>
      <c r="AD45" s="51">
        <f t="shared" si="1"/>
        <v>-312569.9596023864</v>
      </c>
      <c r="AE45" s="64">
        <f t="shared" si="12"/>
        <v>190362.12654430757</v>
      </c>
      <c r="AF45" s="64">
        <f t="shared" si="13"/>
        <v>46885.49394035797</v>
      </c>
      <c r="AG45" s="51">
        <f t="shared" si="2"/>
        <v>0</v>
      </c>
      <c r="AH45" s="64">
        <f t="shared" ca="1" si="14"/>
        <v>0</v>
      </c>
      <c r="AI45" s="64">
        <f t="shared" ca="1" si="3"/>
        <v>-75322.339117720869</v>
      </c>
      <c r="AJ45" s="57"/>
      <c r="AK45" s="51">
        <f ca="1">SUM(AD45:AD$59,AG45:AG$59)/D45+SUM(AE46:AF$60,AH46:AH$59)/D45</f>
        <v>-864649.43193326844</v>
      </c>
      <c r="AL45" s="51">
        <f>SUM(AE46:$AF$60)*$F$14/D45</f>
        <v>113237.30216752575</v>
      </c>
      <c r="AM45" s="19"/>
      <c r="AN45" s="51">
        <f ca="1">-SUM(AD45:$AD$60,AH45:$AH$60)/D45</f>
        <v>3129395.4752837834</v>
      </c>
      <c r="AO45" s="51">
        <f ca="1">-SUM(W45:$W$60,AA45:$AA$60)</f>
        <v>3216788.8791649872</v>
      </c>
      <c r="AP45" s="19"/>
      <c r="AQ45" s="19"/>
      <c r="AR45" s="19"/>
      <c r="AS45" s="19"/>
    </row>
    <row r="46" spans="1:63" outlineLevel="1" x14ac:dyDescent="0.55000000000000004">
      <c r="A46" s="9"/>
      <c r="B46" s="1" t="s">
        <v>18</v>
      </c>
      <c r="C46" s="3">
        <v>7</v>
      </c>
      <c r="D46" s="87">
        <f t="shared" si="4"/>
        <v>0.96593899612956868</v>
      </c>
      <c r="E46" s="4"/>
      <c r="F46" s="84">
        <f t="shared" si="5"/>
        <v>0.67671760860196106</v>
      </c>
      <c r="G46" s="84">
        <f t="shared" si="15"/>
        <v>0.69612968070094694</v>
      </c>
      <c r="H46" s="84">
        <f t="shared" si="16"/>
        <v>0.65366792751618064</v>
      </c>
      <c r="I46" s="4"/>
      <c r="J46" s="98">
        <v>1</v>
      </c>
      <c r="K46" s="94">
        <f t="shared" si="6"/>
        <v>0.05</v>
      </c>
      <c r="L46" s="47">
        <f t="shared" si="17"/>
        <v>0.69612968070094694</v>
      </c>
      <c r="M46" s="47">
        <f t="shared" si="18"/>
        <v>0.67241880495226991</v>
      </c>
      <c r="N46" s="4"/>
      <c r="O46" s="98">
        <v>1</v>
      </c>
      <c r="P46" s="94">
        <f t="shared" si="7"/>
        <v>0.05</v>
      </c>
      <c r="Q46" s="47">
        <f t="shared" si="19"/>
        <v>0.69612968070094694</v>
      </c>
      <c r="R46" s="47">
        <f t="shared" si="20"/>
        <v>0.67241880495226991</v>
      </c>
      <c r="S46" s="51"/>
      <c r="T46" s="131">
        <v>2.7830892374108518E-2</v>
      </c>
      <c r="U46" s="136">
        <f t="shared" si="21"/>
        <v>2.7830892374108518E-2</v>
      </c>
      <c r="W46" s="63">
        <f t="shared" si="8"/>
        <v>-304522.92387088249</v>
      </c>
      <c r="X46" s="63">
        <f t="shared" si="9"/>
        <v>185923.22565222849</v>
      </c>
      <c r="Y46" s="63">
        <f t="shared" si="10"/>
        <v>45678.43858063237</v>
      </c>
      <c r="Z46" s="63">
        <v>0</v>
      </c>
      <c r="AA46" s="63">
        <f t="shared" ca="1" si="11"/>
        <v>0</v>
      </c>
      <c r="AB46" s="64">
        <f t="shared" ca="1" si="0"/>
        <v>-72921.259638021627</v>
      </c>
      <c r="AC46" s="51"/>
      <c r="AD46" s="51">
        <f t="shared" si="1"/>
        <v>-294150.5673822813</v>
      </c>
      <c r="AE46" s="64">
        <f t="shared" si="12"/>
        <v>179590.49394368485</v>
      </c>
      <c r="AF46" s="64">
        <f t="shared" si="13"/>
        <v>44122.585107342195</v>
      </c>
      <c r="AG46" s="51">
        <f t="shared" si="2"/>
        <v>0</v>
      </c>
      <c r="AH46" s="64">
        <f t="shared" ca="1" si="14"/>
        <v>0</v>
      </c>
      <c r="AI46" s="64">
        <f t="shared" ca="1" si="3"/>
        <v>-70437.488331254252</v>
      </c>
      <c r="AJ46" s="57"/>
      <c r="AK46" s="51">
        <f ca="1">SUM(AD46:AD$59,AG46:AG$59)/D46+SUM(AE47:AF$60,AH47:AH$59)/D46</f>
        <v>-776950.47023104201</v>
      </c>
      <c r="AL46" s="51">
        <f>SUM(AE47:$AF$60)*$F$14/D46</f>
        <v>102219.20793807434</v>
      </c>
      <c r="AM46" s="19"/>
      <c r="AN46" s="51">
        <f ca="1">-SUM(AD46:$AD$60,AH46:$AH$60)/D46</f>
        <v>2821334.6289925287</v>
      </c>
      <c r="AO46" s="51">
        <f ca="1">-SUM(W46:$W$60,AA46:$AA$60)</f>
        <v>2894795.0904050181</v>
      </c>
      <c r="AP46" s="19"/>
      <c r="AQ46" s="19"/>
      <c r="AR46" s="19"/>
      <c r="AS46" s="19"/>
    </row>
    <row r="47" spans="1:63" outlineLevel="1" x14ac:dyDescent="0.55000000000000004">
      <c r="A47" s="9"/>
      <c r="B47" s="1" t="s">
        <v>19</v>
      </c>
      <c r="C47" s="3">
        <v>8</v>
      </c>
      <c r="D47" s="87">
        <f t="shared" si="4"/>
        <v>0.96116878123798488</v>
      </c>
      <c r="E47" s="4"/>
      <c r="F47" s="84">
        <f t="shared" si="5"/>
        <v>0.64000000000000012</v>
      </c>
      <c r="G47" s="84">
        <f t="shared" si="15"/>
        <v>0.65835880430098059</v>
      </c>
      <c r="H47" s="84">
        <f t="shared" si="16"/>
        <v>0.61514801999231039</v>
      </c>
      <c r="I47" s="4"/>
      <c r="J47" s="98">
        <v>1</v>
      </c>
      <c r="K47" s="94">
        <f t="shared" si="6"/>
        <v>0.05</v>
      </c>
      <c r="L47" s="47">
        <f t="shared" si="17"/>
        <v>0.65835880430098059</v>
      </c>
      <c r="M47" s="47">
        <f t="shared" si="18"/>
        <v>0.63279392954727054</v>
      </c>
      <c r="N47" s="4"/>
      <c r="O47" s="98">
        <v>1</v>
      </c>
      <c r="P47" s="94">
        <f t="shared" si="7"/>
        <v>0.05</v>
      </c>
      <c r="Q47" s="47">
        <f t="shared" si="19"/>
        <v>0.65835880430098059</v>
      </c>
      <c r="R47" s="47">
        <f t="shared" si="20"/>
        <v>0.63279392954727054</v>
      </c>
      <c r="S47" s="51"/>
      <c r="T47" s="131">
        <v>1.5225286106495761E-2</v>
      </c>
      <c r="U47" s="136">
        <f t="shared" si="21"/>
        <v>1.5225286106495761E-2</v>
      </c>
      <c r="W47" s="63">
        <f t="shared" si="8"/>
        <v>-288000.00000000006</v>
      </c>
      <c r="X47" s="63">
        <f t="shared" si="9"/>
        <v>176273.28000000003</v>
      </c>
      <c r="Y47" s="63">
        <f t="shared" si="10"/>
        <v>43200.000000000007</v>
      </c>
      <c r="Z47" s="63">
        <v>0</v>
      </c>
      <c r="AA47" s="63">
        <f t="shared" ca="1" si="11"/>
        <v>0</v>
      </c>
      <c r="AB47" s="64">
        <f t="shared" ca="1" si="0"/>
        <v>-68526.72000000003</v>
      </c>
      <c r="AC47" s="51"/>
      <c r="AD47" s="51">
        <f t="shared" si="1"/>
        <v>-276816.60899653973</v>
      </c>
      <c r="AE47" s="64">
        <f t="shared" si="12"/>
        <v>169428.37370242208</v>
      </c>
      <c r="AF47" s="64">
        <f t="shared" si="13"/>
        <v>41522.491349480952</v>
      </c>
      <c r="AG47" s="51">
        <f t="shared" si="2"/>
        <v>0</v>
      </c>
      <c r="AH47" s="64">
        <f t="shared" ca="1" si="14"/>
        <v>0</v>
      </c>
      <c r="AI47" s="64">
        <f t="shared" ca="1" si="3"/>
        <v>-65865.743944636692</v>
      </c>
      <c r="AJ47" s="57"/>
      <c r="AK47" s="51">
        <f ca="1">SUM(AD47:AD$59,AG47:AG$59)/D47+SUM(AE48:AF$60,AH48:AH$59)/D47</f>
        <v>-694245.45194604062</v>
      </c>
      <c r="AL47" s="51">
        <f>SUM(AE48:$AF$60)*$F$14/D47</f>
        <v>91752.850872538096</v>
      </c>
      <c r="AM47" s="19"/>
      <c r="AN47" s="51">
        <f ca="1">-SUM(AD47:$AD$60,AH47:$AH$60)/D47</f>
        <v>2529302.4693968026</v>
      </c>
      <c r="AO47" s="51">
        <f ca="1">-SUM(W47:$W$60,AA47:$AA$60)</f>
        <v>2590272.1665341356</v>
      </c>
      <c r="AP47" s="19"/>
      <c r="AQ47" s="19"/>
      <c r="AR47" s="19"/>
      <c r="AS47" s="19"/>
    </row>
    <row r="48" spans="1:63" outlineLevel="1" x14ac:dyDescent="0.55000000000000004">
      <c r="A48" s="9"/>
      <c r="B48" s="1" t="s">
        <v>20</v>
      </c>
      <c r="C48" s="3">
        <v>9</v>
      </c>
      <c r="D48" s="87">
        <f t="shared" si="4"/>
        <v>0.95642212368304769</v>
      </c>
      <c r="E48" s="4"/>
      <c r="F48" s="84">
        <f t="shared" si="5"/>
        <v>0.60527462976203261</v>
      </c>
      <c r="G48" s="84">
        <f t="shared" si="15"/>
        <v>0.62263731488101637</v>
      </c>
      <c r="H48" s="84">
        <f t="shared" si="16"/>
        <v>0.57889804680847368</v>
      </c>
      <c r="I48" s="4"/>
      <c r="J48" s="98">
        <v>1</v>
      </c>
      <c r="K48" s="94">
        <f t="shared" si="6"/>
        <v>0.05</v>
      </c>
      <c r="L48" s="47">
        <f t="shared" si="17"/>
        <v>0.62263731488101637</v>
      </c>
      <c r="M48" s="47">
        <f t="shared" si="18"/>
        <v>0.5955041029828122</v>
      </c>
      <c r="N48" s="4"/>
      <c r="O48" s="98">
        <v>1</v>
      </c>
      <c r="P48" s="94">
        <f t="shared" si="7"/>
        <v>0.05</v>
      </c>
      <c r="Q48" s="47">
        <f t="shared" si="19"/>
        <v>0.62263731488101637</v>
      </c>
      <c r="R48" s="47">
        <f t="shared" si="20"/>
        <v>0.5955041029828122</v>
      </c>
      <c r="S48" s="51"/>
      <c r="T48" s="131">
        <v>1.3868361840445591E-2</v>
      </c>
      <c r="U48" s="136">
        <f t="shared" si="21"/>
        <v>1.3868361840445591E-2</v>
      </c>
      <c r="W48" s="63">
        <f t="shared" si="8"/>
        <v>-272373.58339291468</v>
      </c>
      <c r="X48" s="63">
        <f t="shared" si="9"/>
        <v>167124.19404813601</v>
      </c>
      <c r="Y48" s="63">
        <f t="shared" si="10"/>
        <v>40856.037508937203</v>
      </c>
      <c r="Z48" s="63">
        <v>0</v>
      </c>
      <c r="AA48" s="63">
        <f t="shared" ca="1" si="11"/>
        <v>0</v>
      </c>
      <c r="AB48" s="64">
        <f t="shared" ca="1" si="0"/>
        <v>-64393.351835841466</v>
      </c>
      <c r="AC48" s="51"/>
      <c r="AD48" s="51">
        <f t="shared" si="1"/>
        <v>-260504.12106381313</v>
      </c>
      <c r="AE48" s="64">
        <f t="shared" si="12"/>
        <v>159841.276590336</v>
      </c>
      <c r="AF48" s="64">
        <f t="shared" si="13"/>
        <v>39075.618159571975</v>
      </c>
      <c r="AG48" s="51">
        <f t="shared" si="2"/>
        <v>0</v>
      </c>
      <c r="AH48" s="64">
        <f t="shared" ca="1" si="14"/>
        <v>0</v>
      </c>
      <c r="AI48" s="64">
        <f t="shared" ca="1" si="3"/>
        <v>-61587.226313905157</v>
      </c>
      <c r="AJ48" s="57"/>
      <c r="AK48" s="51">
        <f ca="1">SUM(AD48:AD$59,AG48:AG$59)/D48+SUM(AE49:AF$60,AH49:AH$59)/D48</f>
        <v>-616241.85188304703</v>
      </c>
      <c r="AL48" s="51">
        <f>SUM(AE49:$AF$60)*$F$14/D48</f>
        <v>81809.202415211214</v>
      </c>
      <c r="AM48" s="19"/>
      <c r="AN48" s="51">
        <f ca="1">-SUM(AD48:$AD$60,AH48:$AH$60)/D48</f>
        <v>2252425.9001872712</v>
      </c>
      <c r="AO48" s="51">
        <f ca="1">-SUM(W48:$W$60,AA48:$AA$60)</f>
        <v>2302272.1665341356</v>
      </c>
      <c r="AP48" s="19"/>
      <c r="AQ48" s="19"/>
      <c r="AR48" s="19"/>
      <c r="AS48" s="19"/>
    </row>
    <row r="49" spans="1:45" outlineLevel="1" x14ac:dyDescent="0.55000000000000004">
      <c r="A49" s="9"/>
      <c r="B49" s="1" t="s">
        <v>21</v>
      </c>
      <c r="C49" s="3">
        <v>10</v>
      </c>
      <c r="D49" s="87">
        <f t="shared" si="4"/>
        <v>0.95169890712867522</v>
      </c>
      <c r="E49" s="4"/>
      <c r="F49" s="84">
        <f t="shared" si="5"/>
        <v>0.57243340223994621</v>
      </c>
      <c r="G49" s="84">
        <f t="shared" si="15"/>
        <v>0.58885401600098941</v>
      </c>
      <c r="H49" s="84">
        <f t="shared" si="16"/>
        <v>0.54478424331570618</v>
      </c>
      <c r="I49" s="4"/>
      <c r="J49" s="98">
        <v>1</v>
      </c>
      <c r="K49" s="94">
        <f t="shared" si="6"/>
        <v>0.05</v>
      </c>
      <c r="L49" s="47">
        <f t="shared" si="17"/>
        <v>0.58885401600098941</v>
      </c>
      <c r="M49" s="47">
        <f t="shared" si="18"/>
        <v>0.56041172348647306</v>
      </c>
      <c r="N49" s="4"/>
      <c r="O49" s="98">
        <v>1</v>
      </c>
      <c r="P49" s="94">
        <f t="shared" si="7"/>
        <v>0.05</v>
      </c>
      <c r="Q49" s="47">
        <f t="shared" si="19"/>
        <v>0.58885401600098941</v>
      </c>
      <c r="R49" s="47">
        <f t="shared" si="20"/>
        <v>0.56041172348647306</v>
      </c>
      <c r="S49" s="51"/>
      <c r="T49" s="131">
        <v>5.0809898881113407E-3</v>
      </c>
      <c r="U49" s="136">
        <f t="shared" si="21"/>
        <v>5.0809898881113407E-3</v>
      </c>
      <c r="W49" s="63">
        <f t="shared" si="8"/>
        <v>-257595.03100797581</v>
      </c>
      <c r="X49" s="63">
        <f t="shared" si="9"/>
        <v>158449.97174976836</v>
      </c>
      <c r="Y49" s="63">
        <f t="shared" si="10"/>
        <v>38639.254651196374</v>
      </c>
      <c r="Z49" s="63">
        <v>0</v>
      </c>
      <c r="AA49" s="63">
        <f t="shared" ca="1" si="11"/>
        <v>0</v>
      </c>
      <c r="AB49" s="64">
        <f t="shared" ca="1" si="0"/>
        <v>-60505.804607011072</v>
      </c>
      <c r="AC49" s="51"/>
      <c r="AD49" s="51">
        <f t="shared" si="1"/>
        <v>-245152.90949206779</v>
      </c>
      <c r="AE49" s="64">
        <f t="shared" si="12"/>
        <v>150796.66494882401</v>
      </c>
      <c r="AF49" s="64">
        <f t="shared" si="13"/>
        <v>36772.93642381017</v>
      </c>
      <c r="AG49" s="51">
        <f t="shared" si="2"/>
        <v>0</v>
      </c>
      <c r="AH49" s="64">
        <f t="shared" ca="1" si="14"/>
        <v>0</v>
      </c>
      <c r="AI49" s="64">
        <f t="shared" ca="1" si="3"/>
        <v>-57583.308119433612</v>
      </c>
      <c r="AJ49" s="57"/>
      <c r="AK49" s="51">
        <f ca="1">SUM(AD49:AD$59,AG49:AG$59)/D49+SUM(AE50:AF$60,AH50:AH$59)/D49</f>
        <v>-542664.08957780991</v>
      </c>
      <c r="AL49" s="51">
        <f>SUM(AE50:$AF$60)*$F$14/D49</f>
        <v>72360.754568808028</v>
      </c>
      <c r="AM49" s="19"/>
      <c r="AN49" s="51">
        <f ca="1">-SUM(AD49:$AD$60,AH49:$AH$60)/D49</f>
        <v>1989879.1809539704</v>
      </c>
      <c r="AO49" s="51">
        <f ca="1">-SUM(W49:$W$60,AA49:$AA$60)</f>
        <v>2029898.583141221</v>
      </c>
      <c r="AP49" s="19"/>
      <c r="AQ49" s="19"/>
      <c r="AR49" s="19"/>
      <c r="AS49" s="19"/>
    </row>
    <row r="50" spans="1:45" outlineLevel="1" x14ac:dyDescent="0.55000000000000004">
      <c r="A50" s="9"/>
      <c r="B50" s="1" t="s">
        <v>22</v>
      </c>
      <c r="C50" s="3">
        <v>11</v>
      </c>
      <c r="D50" s="87">
        <f t="shared" si="4"/>
        <v>0.94699901581330248</v>
      </c>
      <c r="E50" s="4"/>
      <c r="F50" s="84">
        <f t="shared" si="5"/>
        <v>0.54137408688156885</v>
      </c>
      <c r="G50" s="84">
        <f t="shared" si="15"/>
        <v>0.55690374456075753</v>
      </c>
      <c r="H50" s="84">
        <f t="shared" si="16"/>
        <v>0.51268072746367099</v>
      </c>
      <c r="I50" s="4"/>
      <c r="J50" s="98">
        <v>1</v>
      </c>
      <c r="K50" s="94">
        <f t="shared" si="6"/>
        <v>0.05</v>
      </c>
      <c r="L50" s="47">
        <f t="shared" si="17"/>
        <v>0.55690374456075753</v>
      </c>
      <c r="M50" s="47">
        <f t="shared" si="18"/>
        <v>0.52738729800178019</v>
      </c>
      <c r="N50" s="4"/>
      <c r="O50" s="98">
        <v>1</v>
      </c>
      <c r="P50" s="94">
        <f t="shared" si="7"/>
        <v>0.05</v>
      </c>
      <c r="Q50" s="47">
        <f t="shared" si="19"/>
        <v>0.55690374456075753</v>
      </c>
      <c r="R50" s="47">
        <f t="shared" si="20"/>
        <v>0.52738729800178019</v>
      </c>
      <c r="S50" s="51"/>
      <c r="T50" s="131">
        <v>6.0769058883075608E-3</v>
      </c>
      <c r="U50" s="136">
        <f t="shared" si="21"/>
        <v>6.0769058883075608E-3</v>
      </c>
      <c r="W50" s="63">
        <f t="shared" si="8"/>
        <v>-243618.33909670598</v>
      </c>
      <c r="X50" s="63">
        <f t="shared" si="9"/>
        <v>150225.96632700058</v>
      </c>
      <c r="Y50" s="63">
        <f t="shared" si="10"/>
        <v>36542.750864505899</v>
      </c>
      <c r="Z50" s="63">
        <v>0</v>
      </c>
      <c r="AA50" s="63">
        <f t="shared" ca="1" si="11"/>
        <v>0</v>
      </c>
      <c r="AB50" s="64">
        <f t="shared" ca="1" si="0"/>
        <v>-56849.621905199499</v>
      </c>
      <c r="AC50" s="51"/>
      <c r="AD50" s="51">
        <f t="shared" si="1"/>
        <v>-230706.32735865196</v>
      </c>
      <c r="AE50" s="64">
        <f t="shared" si="12"/>
        <v>142263.84226127187</v>
      </c>
      <c r="AF50" s="64">
        <f t="shared" si="13"/>
        <v>34605.949103797793</v>
      </c>
      <c r="AG50" s="51">
        <f t="shared" si="2"/>
        <v>0</v>
      </c>
      <c r="AH50" s="64">
        <f t="shared" ca="1" si="14"/>
        <v>0</v>
      </c>
      <c r="AI50" s="64">
        <f t="shared" ca="1" si="3"/>
        <v>-53836.5359935823</v>
      </c>
      <c r="AJ50" s="57"/>
      <c r="AK50" s="51">
        <f ca="1">SUM(AD50:AD$59,AG50:AG$59)/D50+SUM(AE51:AF$60,AH51:AH$59)/D50</f>
        <v>-473252.55399266048</v>
      </c>
      <c r="AL50" s="51">
        <f>SUM(AE51:$AF$60)*$F$14/D50</f>
        <v>63381.440182743099</v>
      </c>
      <c r="AM50" s="19"/>
      <c r="AN50" s="51">
        <f ca="1">-SUM(AD50:$AD$60,AH50:$AH$60)/D50</f>
        <v>1740881.3576475224</v>
      </c>
      <c r="AO50" s="51">
        <f ca="1">-SUM(W50:$W$60,AA50:$AA$60)</f>
        <v>1772303.5521332449</v>
      </c>
      <c r="AP50" s="19"/>
      <c r="AQ50" s="19"/>
      <c r="AR50" s="19"/>
      <c r="AS50" s="19"/>
    </row>
    <row r="51" spans="1:45" outlineLevel="1" x14ac:dyDescent="0.55000000000000004">
      <c r="A51" s="9"/>
      <c r="B51" s="1" t="s">
        <v>23</v>
      </c>
      <c r="C51" s="3">
        <v>12</v>
      </c>
      <c r="D51" s="87">
        <f t="shared" si="4"/>
        <v>0.94232233454704384</v>
      </c>
      <c r="E51" s="4"/>
      <c r="F51" s="84">
        <f t="shared" si="5"/>
        <v>0.51200000000000012</v>
      </c>
      <c r="G51" s="84">
        <f t="shared" si="15"/>
        <v>0.52668704344078443</v>
      </c>
      <c r="H51" s="84">
        <f t="shared" si="16"/>
        <v>0.48246903528808655</v>
      </c>
      <c r="I51" s="4"/>
      <c r="J51" s="98">
        <v>1</v>
      </c>
      <c r="K51" s="94">
        <f t="shared" si="6"/>
        <v>0.05</v>
      </c>
      <c r="L51" s="47">
        <f t="shared" si="17"/>
        <v>0.52668704344078443</v>
      </c>
      <c r="M51" s="47">
        <f t="shared" si="18"/>
        <v>0.4963089643508003</v>
      </c>
      <c r="N51" s="4"/>
      <c r="O51" s="98">
        <v>1</v>
      </c>
      <c r="P51" s="94">
        <f t="shared" si="7"/>
        <v>0.05</v>
      </c>
      <c r="Q51" s="47">
        <f t="shared" si="19"/>
        <v>0.52668704344078443</v>
      </c>
      <c r="R51" s="47">
        <f t="shared" si="20"/>
        <v>0.4963089643508003</v>
      </c>
      <c r="S51" s="51"/>
      <c r="T51" s="131">
        <v>6.7969588236102014E-3</v>
      </c>
      <c r="U51" s="136">
        <f t="shared" si="21"/>
        <v>6.7969588236102014E-3</v>
      </c>
      <c r="W51" s="63">
        <f t="shared" si="8"/>
        <v>-230400.00000000006</v>
      </c>
      <c r="X51" s="63">
        <f t="shared" si="9"/>
        <v>142428.81024000002</v>
      </c>
      <c r="Y51" s="63">
        <f t="shared" si="10"/>
        <v>34560.000000000015</v>
      </c>
      <c r="Z51" s="63">
        <v>0</v>
      </c>
      <c r="AA51" s="63">
        <f t="shared" ca="1" si="11"/>
        <v>0</v>
      </c>
      <c r="AB51" s="64">
        <f t="shared" ca="1" si="0"/>
        <v>-53411.189760000023</v>
      </c>
      <c r="AC51" s="51"/>
      <c r="AD51" s="51">
        <f t="shared" si="1"/>
        <v>-217111.06587963895</v>
      </c>
      <c r="AE51" s="64">
        <f t="shared" si="12"/>
        <v>134213.84897211473</v>
      </c>
      <c r="AF51" s="64">
        <f t="shared" si="13"/>
        <v>32566.659881945849</v>
      </c>
      <c r="AG51" s="51">
        <f t="shared" si="2"/>
        <v>0</v>
      </c>
      <c r="AH51" s="64">
        <f t="shared" ca="1" si="14"/>
        <v>0</v>
      </c>
      <c r="AI51" s="64">
        <f t="shared" ca="1" si="3"/>
        <v>-50330.557025578368</v>
      </c>
      <c r="AJ51" s="57"/>
      <c r="AK51" s="51">
        <f ca="1">SUM(AD51:AD$59,AG51:AG$59)/D51+SUM(AE52:AF$60,AH52:AH$59)/D51</f>
        <v>-407762.68403134961</v>
      </c>
      <c r="AL51" s="51">
        <f>SUM(AE52:$AF$60)*$F$14/D51</f>
        <v>54846.557421381156</v>
      </c>
      <c r="AM51" s="19"/>
      <c r="AN51" s="51">
        <f ca="1">-SUM(AD51:$AD$60,AH51:$AH$60)/D51</f>
        <v>1504693.8324589727</v>
      </c>
      <c r="AO51" s="51">
        <f ca="1">-SUM(W51:$W$60,AA51:$AA$60)</f>
        <v>1528685.2130365393</v>
      </c>
      <c r="AP51" s="19"/>
      <c r="AQ51" s="19"/>
      <c r="AR51" s="19"/>
      <c r="AS51" s="19"/>
    </row>
    <row r="52" spans="1:45" outlineLevel="1" x14ac:dyDescent="0.55000000000000004">
      <c r="A52" s="9"/>
      <c r="B52" s="1" t="s">
        <v>24</v>
      </c>
      <c r="C52" s="3">
        <v>13</v>
      </c>
      <c r="D52" s="87">
        <f t="shared" si="4"/>
        <v>0.93766874870887007</v>
      </c>
      <c r="E52" s="4"/>
      <c r="F52" s="84">
        <f t="shared" ref="F52:F59" si="22">(1-$F$19)^(C52/4)</f>
        <v>0.48421970380962609</v>
      </c>
      <c r="G52" s="84">
        <f t="shared" ref="G52:G59" si="23">AVERAGE(F51:F52)</f>
        <v>0.49810985190481311</v>
      </c>
      <c r="H52" s="84">
        <f t="shared" ref="H52:H59" si="24">F52*D52</f>
        <v>0.45403768377135179</v>
      </c>
      <c r="I52" s="4"/>
      <c r="J52" s="98">
        <v>1</v>
      </c>
      <c r="K52" s="94">
        <f t="shared" ref="K52:K59" si="25">J52/$J$62</f>
        <v>0.05</v>
      </c>
      <c r="L52" s="47">
        <f t="shared" ref="L52:L59" si="26">J52*G52</f>
        <v>0.49810985190481311</v>
      </c>
      <c r="M52" s="47">
        <f t="shared" ref="M52:M59" si="27">L52*D52</f>
        <v>0.46706204155514669</v>
      </c>
      <c r="N52" s="4"/>
      <c r="O52" s="98">
        <v>1</v>
      </c>
      <c r="P52" s="94">
        <f t="shared" ref="P52:P59" si="28">O52/$O$62</f>
        <v>0.05</v>
      </c>
      <c r="Q52" s="47">
        <f t="shared" ref="Q52:Q59" si="29">O52*G52</f>
        <v>0.49810985190481311</v>
      </c>
      <c r="R52" s="47">
        <f t="shared" ref="R52:R59" si="30">Q52*D52</f>
        <v>0.46706204155514669</v>
      </c>
      <c r="S52" s="51"/>
      <c r="T52" s="131">
        <v>0</v>
      </c>
      <c r="U52" s="136">
        <f t="shared" si="21"/>
        <v>0</v>
      </c>
      <c r="W52" s="63">
        <f t="shared" si="8"/>
        <v>-217898.86671433173</v>
      </c>
      <c r="X52" s="63">
        <f t="shared" si="9"/>
        <v>135036.34879089388</v>
      </c>
      <c r="Y52" s="63">
        <f t="shared" si="10"/>
        <v>32684.830007149762</v>
      </c>
      <c r="Z52" s="63">
        <v>0</v>
      </c>
      <c r="AA52" s="63">
        <f t="shared" ca="1" si="11"/>
        <v>0</v>
      </c>
      <c r="AB52" s="64">
        <f t="shared" ca="1" si="0"/>
        <v>-50177.68791628808</v>
      </c>
      <c r="AC52" s="51"/>
      <c r="AD52" s="51">
        <f t="shared" si="1"/>
        <v>-204316.9576971083</v>
      </c>
      <c r="AE52" s="64">
        <f t="shared" si="12"/>
        <v>126619.36420097201</v>
      </c>
      <c r="AF52" s="64">
        <f t="shared" si="13"/>
        <v>30647.543654566245</v>
      </c>
      <c r="AG52" s="51">
        <f t="shared" si="2"/>
        <v>0</v>
      </c>
      <c r="AH52" s="64">
        <f t="shared" ca="1" si="14"/>
        <v>0</v>
      </c>
      <c r="AI52" s="64">
        <f t="shared" ca="1" si="3"/>
        <v>-47050.049841570049</v>
      </c>
      <c r="AJ52" s="57"/>
      <c r="AK52" s="51">
        <f ca="1">SUM(AD52:AD$59,AG52:AG$59)/D52+SUM(AE53:AF$60,AH53:AH$59)/D52</f>
        <v>-345964.10169388063</v>
      </c>
      <c r="AL52" s="51">
        <f>SUM(AE53:$AF$60)*$F$14/D52</f>
        <v>46732.698192987089</v>
      </c>
      <c r="AM52" s="19"/>
      <c r="AN52" s="51">
        <f ca="1">-SUM(AD52:$AD$60,AH52:$AH$60)/D52</f>
        <v>1280618.0655536223</v>
      </c>
      <c r="AO52" s="51">
        <f ca="1">-SUM(W52:$W$60,AA52:$AA$60)</f>
        <v>1298285.2130365393</v>
      </c>
      <c r="AP52" s="19"/>
      <c r="AQ52" s="19"/>
      <c r="AR52" s="19"/>
      <c r="AS52" s="19"/>
    </row>
    <row r="53" spans="1:45" outlineLevel="1" x14ac:dyDescent="0.55000000000000004">
      <c r="A53" s="9"/>
      <c r="B53" s="1" t="s">
        <v>25</v>
      </c>
      <c r="C53" s="3">
        <v>14</v>
      </c>
      <c r="D53" s="87">
        <f t="shared" si="4"/>
        <v>0.93303814424379905</v>
      </c>
      <c r="E53" s="4"/>
      <c r="F53" s="84">
        <f t="shared" si="22"/>
        <v>0.457946721791957</v>
      </c>
      <c r="G53" s="84">
        <f t="shared" si="23"/>
        <v>0.47108321280079157</v>
      </c>
      <c r="H53" s="84">
        <f t="shared" si="24"/>
        <v>0.42728175946329888</v>
      </c>
      <c r="I53" s="4"/>
      <c r="J53" s="98">
        <v>1</v>
      </c>
      <c r="K53" s="94">
        <f t="shared" si="25"/>
        <v>0.05</v>
      </c>
      <c r="L53" s="47">
        <f t="shared" si="26"/>
        <v>0.47108321280079157</v>
      </c>
      <c r="M53" s="47">
        <f t="shared" si="27"/>
        <v>0.43953860665605726</v>
      </c>
      <c r="N53" s="4"/>
      <c r="O53" s="98">
        <v>1</v>
      </c>
      <c r="P53" s="94">
        <f t="shared" si="28"/>
        <v>0.05</v>
      </c>
      <c r="Q53" s="47">
        <f t="shared" si="29"/>
        <v>0.47108321280079157</v>
      </c>
      <c r="R53" s="47">
        <f t="shared" si="30"/>
        <v>0.43953860665605726</v>
      </c>
      <c r="S53" s="51"/>
      <c r="T53" s="131">
        <v>0</v>
      </c>
      <c r="U53" s="136">
        <f t="shared" si="21"/>
        <v>0</v>
      </c>
      <c r="W53" s="63">
        <f t="shared" si="8"/>
        <v>-206076.02480638065</v>
      </c>
      <c r="X53" s="63">
        <f t="shared" si="9"/>
        <v>128027.57717381284</v>
      </c>
      <c r="Y53" s="63">
        <f t="shared" si="10"/>
        <v>30911.4037209571</v>
      </c>
      <c r="Z53" s="63">
        <v>0</v>
      </c>
      <c r="AA53" s="63">
        <f t="shared" ca="1" si="11"/>
        <v>0</v>
      </c>
      <c r="AB53" s="64">
        <f t="shared" ca="1" si="0"/>
        <v>-47137.043911610715</v>
      </c>
      <c r="AC53" s="51"/>
      <c r="AD53" s="51">
        <f t="shared" si="1"/>
        <v>-192276.7917584845</v>
      </c>
      <c r="AE53" s="64">
        <f t="shared" si="12"/>
        <v>119454.6130182841</v>
      </c>
      <c r="AF53" s="64">
        <f t="shared" si="13"/>
        <v>28841.518763772678</v>
      </c>
      <c r="AG53" s="51">
        <f t="shared" si="2"/>
        <v>0</v>
      </c>
      <c r="AH53" s="64">
        <f t="shared" ca="1" si="14"/>
        <v>0</v>
      </c>
      <c r="AI53" s="64">
        <f t="shared" ca="1" si="3"/>
        <v>-43980.65997642772</v>
      </c>
      <c r="AJ53" s="57"/>
      <c r="AK53" s="51">
        <f ca="1">SUM(AD53:AD$59,AG53:AG$59)/D53+SUM(AE54:AF$60,AH54:AH$59)/D53</f>
        <v>-287639.79487242864</v>
      </c>
      <c r="AL53" s="51">
        <f>SUM(AE54:$AF$60)*$F$14/D53</f>
        <v>39017.680331611577</v>
      </c>
      <c r="AM53" s="19"/>
      <c r="AN53" s="51">
        <f ca="1">-SUM(AD53:$AD$60,AH53:$AH$60)/D53</f>
        <v>1067993.40150466</v>
      </c>
      <c r="AO53" s="51">
        <f ca="1">-SUM(W53:$W$60,AA53:$AA$60)</f>
        <v>1080386.3463222075</v>
      </c>
      <c r="AP53" s="19"/>
      <c r="AQ53" s="19"/>
      <c r="AR53" s="19"/>
      <c r="AS53" s="19"/>
    </row>
    <row r="54" spans="1:45" outlineLevel="1" x14ac:dyDescent="0.55000000000000004">
      <c r="A54" s="9"/>
      <c r="B54" s="1" t="s">
        <v>26</v>
      </c>
      <c r="C54" s="3">
        <v>15</v>
      </c>
      <c r="D54" s="87">
        <f t="shared" si="4"/>
        <v>0.92843040766010021</v>
      </c>
      <c r="E54" s="4"/>
      <c r="F54" s="84">
        <f t="shared" si="22"/>
        <v>0.43309926950525512</v>
      </c>
      <c r="G54" s="84">
        <f t="shared" si="23"/>
        <v>0.44552299564860609</v>
      </c>
      <c r="H54" s="84">
        <f t="shared" si="24"/>
        <v>0.4021025313440556</v>
      </c>
      <c r="I54" s="4"/>
      <c r="J54" s="98">
        <v>1</v>
      </c>
      <c r="K54" s="94">
        <f t="shared" si="25"/>
        <v>0.05</v>
      </c>
      <c r="L54" s="47">
        <f t="shared" si="26"/>
        <v>0.44552299564860609</v>
      </c>
      <c r="M54" s="47">
        <f t="shared" si="27"/>
        <v>0.41363709647198438</v>
      </c>
      <c r="N54" s="4"/>
      <c r="O54" s="98">
        <v>1</v>
      </c>
      <c r="P54" s="94">
        <f t="shared" si="28"/>
        <v>0.05</v>
      </c>
      <c r="Q54" s="47">
        <f t="shared" si="29"/>
        <v>0.44552299564860609</v>
      </c>
      <c r="R54" s="47">
        <f t="shared" si="30"/>
        <v>0.41363709647198438</v>
      </c>
      <c r="S54" s="51"/>
      <c r="T54" s="131">
        <v>0</v>
      </c>
      <c r="U54" s="136">
        <f t="shared" si="21"/>
        <v>0</v>
      </c>
      <c r="W54" s="63">
        <f t="shared" si="8"/>
        <v>-194894.6712773648</v>
      </c>
      <c r="X54" s="63">
        <f t="shared" si="9"/>
        <v>121382.5807922165</v>
      </c>
      <c r="Y54" s="63">
        <f t="shared" si="10"/>
        <v>29234.200691604725</v>
      </c>
      <c r="Z54" s="63">
        <v>0</v>
      </c>
      <c r="AA54" s="63">
        <f t="shared" ca="1" si="11"/>
        <v>0</v>
      </c>
      <c r="AB54" s="64">
        <f t="shared" ca="1" si="0"/>
        <v>-44277.889793543582</v>
      </c>
      <c r="AC54" s="51"/>
      <c r="AD54" s="51">
        <f t="shared" si="1"/>
        <v>-180946.13910482504</v>
      </c>
      <c r="AE54" s="64">
        <f t="shared" si="12"/>
        <v>112695.27896775262</v>
      </c>
      <c r="AF54" s="64">
        <f t="shared" si="13"/>
        <v>27141.920865723758</v>
      </c>
      <c r="AG54" s="51">
        <f t="shared" si="2"/>
        <v>0</v>
      </c>
      <c r="AH54" s="64">
        <f t="shared" ca="1" si="14"/>
        <v>0</v>
      </c>
      <c r="AI54" s="64">
        <f t="shared" ca="1" si="3"/>
        <v>-41108.93927134866</v>
      </c>
      <c r="AJ54" s="57"/>
      <c r="AK54" s="51">
        <f ca="1">SUM(AD54:AD$59,AG54:AG$59)/D54+SUM(AE55:AF$60,AH55:AH$59)/D54</f>
        <v>-232585.34695955925</v>
      </c>
      <c r="AL54" s="51">
        <f>SUM(AE55:$AF$60)*$F$14/D54</f>
        <v>31680.483335051442</v>
      </c>
      <c r="AM54" s="19"/>
      <c r="AN54" s="51">
        <f ca="1">-SUM(AD54:$AD$60,AH54:$AH$60)/D54</f>
        <v>866195.01366058807</v>
      </c>
      <c r="AO54" s="51">
        <f ca="1">-SUM(W54:$W$60,AA54:$AA$60)</f>
        <v>874310.32151582674</v>
      </c>
      <c r="AP54" s="19"/>
      <c r="AQ54" s="19"/>
      <c r="AR54" s="19"/>
      <c r="AS54" s="19"/>
    </row>
    <row r="55" spans="1:45" outlineLevel="1" x14ac:dyDescent="0.55000000000000004">
      <c r="A55" s="9"/>
      <c r="B55" s="1" t="s">
        <v>27</v>
      </c>
      <c r="C55" s="3">
        <v>16</v>
      </c>
      <c r="D55" s="87">
        <f t="shared" si="4"/>
        <v>0.92384542602651332</v>
      </c>
      <c r="E55" s="4"/>
      <c r="F55" s="84">
        <f t="shared" si="22"/>
        <v>0.40960000000000019</v>
      </c>
      <c r="G55" s="84">
        <f t="shared" si="23"/>
        <v>0.42134963475262766</v>
      </c>
      <c r="H55" s="84">
        <f t="shared" si="24"/>
        <v>0.37840708650046001</v>
      </c>
      <c r="I55" s="4"/>
      <c r="J55" s="98">
        <v>1</v>
      </c>
      <c r="K55" s="94">
        <f t="shared" si="25"/>
        <v>0.05</v>
      </c>
      <c r="L55" s="47">
        <f t="shared" si="26"/>
        <v>0.42134963475262766</v>
      </c>
      <c r="M55" s="47">
        <f t="shared" si="27"/>
        <v>0.38926193282415705</v>
      </c>
      <c r="N55" s="4"/>
      <c r="O55" s="98">
        <v>1</v>
      </c>
      <c r="P55" s="94">
        <f t="shared" si="28"/>
        <v>0.05</v>
      </c>
      <c r="Q55" s="47">
        <f t="shared" si="29"/>
        <v>0.42134963475262766</v>
      </c>
      <c r="R55" s="47">
        <f t="shared" si="30"/>
        <v>0.38926193282415705</v>
      </c>
      <c r="S55" s="51"/>
      <c r="T55" s="131">
        <v>0</v>
      </c>
      <c r="U55" s="136">
        <f t="shared" si="21"/>
        <v>0</v>
      </c>
      <c r="W55" s="63">
        <f t="shared" si="8"/>
        <v>-184320.00000000009</v>
      </c>
      <c r="X55" s="63">
        <f t="shared" si="9"/>
        <v>115082.47867392006</v>
      </c>
      <c r="Y55" s="63">
        <f t="shared" si="10"/>
        <v>27648.000000000015</v>
      </c>
      <c r="Z55" s="63">
        <v>0</v>
      </c>
      <c r="AA55" s="63">
        <f t="shared" ca="1" si="11"/>
        <v>0</v>
      </c>
      <c r="AB55" s="64">
        <f t="shared" ca="1" si="0"/>
        <v>-41589.521326080008</v>
      </c>
      <c r="AC55" s="51"/>
      <c r="AD55" s="51">
        <f t="shared" si="1"/>
        <v>-170283.18892520701</v>
      </c>
      <c r="AE55" s="64">
        <f t="shared" si="12"/>
        <v>106318.42153869482</v>
      </c>
      <c r="AF55" s="64">
        <f t="shared" si="13"/>
        <v>25542.478338781053</v>
      </c>
      <c r="AG55" s="51">
        <f t="shared" si="2"/>
        <v>0</v>
      </c>
      <c r="AH55" s="64">
        <f t="shared" ca="1" si="14"/>
        <v>0</v>
      </c>
      <c r="AI55" s="64">
        <f t="shared" ca="1" si="3"/>
        <v>-38422.289047731138</v>
      </c>
      <c r="AJ55" s="57"/>
      <c r="AK55" s="51">
        <f ca="1">SUM(AD55:AD$59,AG55:AG$59)/D55+SUM(AE56:AF$60,AH56:AH$59)/D55</f>
        <v>-180608.21060047322</v>
      </c>
      <c r="AL55" s="51">
        <f>SUM(AE56:$AF$60)*$F$14/D55</f>
        <v>24701.187472353326</v>
      </c>
      <c r="AM55" s="19"/>
      <c r="AN55" s="51">
        <f ca="1">-SUM(AD55:$AD$60,AH55:$AH$60)/D55</f>
        <v>674631.96004753967</v>
      </c>
      <c r="AO55" s="51">
        <f ca="1">-SUM(W55:$W$60,AA55:$AA$60)</f>
        <v>679415.65023846179</v>
      </c>
      <c r="AP55" s="19"/>
      <c r="AQ55" s="19"/>
      <c r="AR55" s="19"/>
      <c r="AS55" s="19"/>
    </row>
    <row r="56" spans="1:45" outlineLevel="1" x14ac:dyDescent="0.55000000000000004">
      <c r="A56" s="9"/>
      <c r="B56" s="1" t="s">
        <v>28</v>
      </c>
      <c r="C56" s="3">
        <v>17</v>
      </c>
      <c r="D56" s="87">
        <f t="shared" si="4"/>
        <v>0.91928308696948025</v>
      </c>
      <c r="E56" s="4"/>
      <c r="F56" s="84">
        <f t="shared" si="22"/>
        <v>0.38737576304770088</v>
      </c>
      <c r="G56" s="84">
        <f t="shared" si="23"/>
        <v>0.39848788152385051</v>
      </c>
      <c r="H56" s="84">
        <f t="shared" si="24"/>
        <v>0.35610798727164839</v>
      </c>
      <c r="I56" s="4"/>
      <c r="J56" s="98">
        <v>1</v>
      </c>
      <c r="K56" s="94">
        <f t="shared" si="25"/>
        <v>0.05</v>
      </c>
      <c r="L56" s="47">
        <f t="shared" si="26"/>
        <v>0.39848788152385051</v>
      </c>
      <c r="M56" s="47">
        <f t="shared" si="27"/>
        <v>0.36632316984717378</v>
      </c>
      <c r="N56" s="4"/>
      <c r="O56" s="98">
        <v>1</v>
      </c>
      <c r="P56" s="94">
        <f t="shared" si="28"/>
        <v>0.05</v>
      </c>
      <c r="Q56" s="47">
        <f t="shared" si="29"/>
        <v>0.39848788152385051</v>
      </c>
      <c r="R56" s="47">
        <f t="shared" si="30"/>
        <v>0.36632316984717378</v>
      </c>
      <c r="S56" s="51"/>
      <c r="T56" s="131">
        <v>0</v>
      </c>
      <c r="U56" s="136">
        <f t="shared" si="21"/>
        <v>0</v>
      </c>
      <c r="W56" s="63">
        <f t="shared" si="8"/>
        <v>-174319.09337146539</v>
      </c>
      <c r="X56" s="63">
        <f t="shared" si="9"/>
        <v>109109.36982304225</v>
      </c>
      <c r="Y56" s="63">
        <f t="shared" si="10"/>
        <v>26147.864005719814</v>
      </c>
      <c r="Z56" s="63">
        <v>0</v>
      </c>
      <c r="AA56" s="63">
        <f t="shared" ca="1" si="11"/>
        <v>0</v>
      </c>
      <c r="AB56" s="64">
        <f t="shared" ca="1" si="0"/>
        <v>-39061.859542703336</v>
      </c>
      <c r="AC56" s="51"/>
      <c r="AD56" s="51">
        <f t="shared" si="1"/>
        <v>-160248.59427224178</v>
      </c>
      <c r="AE56" s="64">
        <f t="shared" si="12"/>
        <v>100302.39830822093</v>
      </c>
      <c r="AF56" s="64">
        <f t="shared" si="13"/>
        <v>24037.28914083627</v>
      </c>
      <c r="AG56" s="51">
        <f t="shared" si="2"/>
        <v>0</v>
      </c>
      <c r="AH56" s="64">
        <f t="shared" ca="1" si="14"/>
        <v>0</v>
      </c>
      <c r="AI56" s="64">
        <f t="shared" ca="1" si="3"/>
        <v>-35908.906823184581</v>
      </c>
      <c r="AJ56" s="57"/>
      <c r="AK56" s="51">
        <f ca="1">SUM(AD56:AD$59,AG56:AG$59)/D56+SUM(AE57:AF$60,AH57:AH$59)/D56</f>
        <v>-131527.02307243116</v>
      </c>
      <c r="AL56" s="51">
        <f>SUM(AE57:$AF$60)*$F$14/D56</f>
        <v>18060.916084117383</v>
      </c>
      <c r="AM56" s="19"/>
      <c r="AN56" s="51">
        <f ca="1">-SUM(AD56:$AD$60,AH56:$AH$60)/D56</f>
        <v>492745.34475477884</v>
      </c>
      <c r="AO56" s="51">
        <f ca="1">-SUM(W56:$W$60,AA56:$AA$60)</f>
        <v>495095.65023846179</v>
      </c>
      <c r="AP56" s="19"/>
      <c r="AQ56" s="19"/>
      <c r="AR56" s="19"/>
      <c r="AS56" s="19"/>
    </row>
    <row r="57" spans="1:45" outlineLevel="1" x14ac:dyDescent="0.55000000000000004">
      <c r="A57" s="9"/>
      <c r="B57" s="1" t="s">
        <v>29</v>
      </c>
      <c r="C57" s="3">
        <v>18</v>
      </c>
      <c r="D57" s="87">
        <f t="shared" si="4"/>
        <v>0.91474327867039096</v>
      </c>
      <c r="E57" s="4"/>
      <c r="F57" s="84">
        <f t="shared" si="22"/>
        <v>0.36635737743356561</v>
      </c>
      <c r="G57" s="84">
        <f t="shared" si="23"/>
        <v>0.37686657024063325</v>
      </c>
      <c r="H57" s="84">
        <f t="shared" si="24"/>
        <v>0.3351229485986657</v>
      </c>
      <c r="I57" s="4"/>
      <c r="J57" s="98">
        <v>1</v>
      </c>
      <c r="K57" s="94">
        <f t="shared" si="25"/>
        <v>0.05</v>
      </c>
      <c r="L57" s="47">
        <f t="shared" si="26"/>
        <v>0.37686657024063325</v>
      </c>
      <c r="M57" s="47">
        <f t="shared" si="27"/>
        <v>0.34473616208318203</v>
      </c>
      <c r="N57" s="4"/>
      <c r="O57" s="98">
        <v>1</v>
      </c>
      <c r="P57" s="94">
        <f t="shared" si="28"/>
        <v>0.05</v>
      </c>
      <c r="Q57" s="47">
        <f t="shared" si="29"/>
        <v>0.37686657024063325</v>
      </c>
      <c r="R57" s="47">
        <f t="shared" si="30"/>
        <v>0.34473616208318203</v>
      </c>
      <c r="S57" s="51"/>
      <c r="T57" s="131">
        <v>0</v>
      </c>
      <c r="U57" s="136">
        <f t="shared" si="21"/>
        <v>0</v>
      </c>
      <c r="W57" s="63">
        <f t="shared" si="8"/>
        <v>-164860.81984510453</v>
      </c>
      <c r="X57" s="63">
        <f t="shared" si="9"/>
        <v>103446.28235644077</v>
      </c>
      <c r="Y57" s="63">
        <f t="shared" si="10"/>
        <v>24729.122976765681</v>
      </c>
      <c r="Z57" s="63">
        <v>0</v>
      </c>
      <c r="AA57" s="63">
        <f t="shared" ca="1" si="11"/>
        <v>0</v>
      </c>
      <c r="AB57" s="64">
        <f t="shared" ca="1" si="0"/>
        <v>-36685.414511898081</v>
      </c>
      <c r="AC57" s="51"/>
      <c r="AD57" s="51">
        <f t="shared" si="1"/>
        <v>-150805.32686939958</v>
      </c>
      <c r="AE57" s="64">
        <f t="shared" si="12"/>
        <v>94626.791488993651</v>
      </c>
      <c r="AF57" s="64">
        <f t="shared" si="13"/>
        <v>22620.799030409937</v>
      </c>
      <c r="AG57" s="51">
        <f t="shared" si="2"/>
        <v>0</v>
      </c>
      <c r="AH57" s="64">
        <f t="shared" ca="1" si="14"/>
        <v>0</v>
      </c>
      <c r="AI57" s="64">
        <f t="shared" ca="1" si="3"/>
        <v>-33557.73634999599</v>
      </c>
      <c r="AJ57" s="57"/>
      <c r="AK57" s="51">
        <f ca="1">SUM(AD57:AD$59,AG57:AG$59)/D57+SUM(AE58:AF$60,AH58:AH$59)/D57</f>
        <v>-85170.960917402408</v>
      </c>
      <c r="AL57" s="51">
        <f>SUM(AE58:$AF$60)*$F$14/D57</f>
        <v>11741.780908131914</v>
      </c>
      <c r="AM57" s="19"/>
      <c r="AN57" s="51">
        <f ca="1">-SUM(AD57:$AD$60,AH57:$AH$60)/D57</f>
        <v>320006.57908004068</v>
      </c>
      <c r="AO57" s="51">
        <f ca="1">-SUM(W57:$W$60,AA57:$AA$60)</f>
        <v>320776.5568669964</v>
      </c>
      <c r="AP57" s="19"/>
      <c r="AQ57" s="19"/>
      <c r="AR57" s="19"/>
      <c r="AS57" s="19"/>
    </row>
    <row r="58" spans="1:45" outlineLevel="1" x14ac:dyDescent="0.55000000000000004">
      <c r="A58" s="9"/>
      <c r="B58" s="1" t="s">
        <v>30</v>
      </c>
      <c r="C58" s="3">
        <v>19</v>
      </c>
      <c r="D58" s="87">
        <f t="shared" si="4"/>
        <v>0.91022588986284314</v>
      </c>
      <c r="E58" s="4"/>
      <c r="F58" s="84">
        <f t="shared" si="22"/>
        <v>0.34647941560420414</v>
      </c>
      <c r="G58" s="84">
        <f t="shared" si="23"/>
        <v>0.35641839651888485</v>
      </c>
      <c r="H58" s="84">
        <f t="shared" si="24"/>
        <v>0.31537453438749458</v>
      </c>
      <c r="I58" s="4"/>
      <c r="J58" s="98">
        <v>1</v>
      </c>
      <c r="K58" s="94">
        <f t="shared" si="25"/>
        <v>0.05</v>
      </c>
      <c r="L58" s="47">
        <f t="shared" si="26"/>
        <v>0.35641839651888485</v>
      </c>
      <c r="M58" s="47">
        <f t="shared" si="27"/>
        <v>0.32442125213488965</v>
      </c>
      <c r="N58" s="4"/>
      <c r="O58" s="98">
        <v>1</v>
      </c>
      <c r="P58" s="94">
        <f t="shared" si="28"/>
        <v>0.05</v>
      </c>
      <c r="Q58" s="47">
        <f t="shared" si="29"/>
        <v>0.35641839651888485</v>
      </c>
      <c r="R58" s="47">
        <f t="shared" si="30"/>
        <v>0.32442125213488965</v>
      </c>
      <c r="S58" s="51"/>
      <c r="T58" s="131">
        <v>0</v>
      </c>
      <c r="U58" s="136">
        <f t="shared" si="21"/>
        <v>0</v>
      </c>
      <c r="W58" s="63">
        <f t="shared" si="8"/>
        <v>-155915.73702189187</v>
      </c>
      <c r="X58" s="63">
        <f t="shared" si="9"/>
        <v>98077.125280110951</v>
      </c>
      <c r="Y58" s="63">
        <f t="shared" si="10"/>
        <v>23387.360553283779</v>
      </c>
      <c r="Z58" s="63">
        <v>0</v>
      </c>
      <c r="AA58" s="63">
        <f t="shared" ca="1" si="11"/>
        <v>0</v>
      </c>
      <c r="AB58" s="64">
        <f t="shared" ca="1" si="0"/>
        <v>-34451.251188497132</v>
      </c>
      <c r="AC58" s="51"/>
      <c r="AD58" s="51">
        <f t="shared" si="1"/>
        <v>-141918.54047437257</v>
      </c>
      <c r="AE58" s="64">
        <f t="shared" si="12"/>
        <v>89272.338633278545</v>
      </c>
      <c r="AF58" s="64">
        <f t="shared" si="13"/>
        <v>21287.781071155885</v>
      </c>
      <c r="AG58" s="51">
        <f t="shared" si="2"/>
        <v>0</v>
      </c>
      <c r="AH58" s="64">
        <f t="shared" ca="1" si="14"/>
        <v>0</v>
      </c>
      <c r="AI58" s="64">
        <f t="shared" ca="1" si="3"/>
        <v>-31358.420769938137</v>
      </c>
      <c r="AJ58" s="57"/>
      <c r="AK58" s="51">
        <f ca="1">SUM(AD58:AD$59,AG58:AG$59)/D58+SUM(AE59:AF$60,AH59:AH$59)/D58</f>
        <v>-41379.131588756121</v>
      </c>
      <c r="AL58" s="51">
        <f>SUM(AE59:$AF$60)*$F$14/D58</f>
        <v>5726.8302716567869</v>
      </c>
      <c r="AM58" s="19"/>
      <c r="AN58" s="51">
        <f ca="1">-SUM(AD58:$AD$60,AH58:$AH$60)/D58</f>
        <v>155915.73702189187</v>
      </c>
      <c r="AO58" s="51">
        <f ca="1">-SUM(W58:$W$60,AA58:$AA$60)</f>
        <v>155915.73702189187</v>
      </c>
      <c r="AP58" s="19"/>
      <c r="AQ58" s="19"/>
      <c r="AR58" s="19"/>
      <c r="AS58" s="19"/>
    </row>
    <row r="59" spans="1:45" outlineLevel="1" x14ac:dyDescent="0.55000000000000004">
      <c r="A59" s="9"/>
      <c r="B59" s="1" t="s">
        <v>31</v>
      </c>
      <c r="C59" s="3">
        <v>20</v>
      </c>
      <c r="D59" s="87">
        <f t="shared" si="4"/>
        <v>0.90573080982991483</v>
      </c>
      <c r="E59" s="4"/>
      <c r="F59" s="84">
        <f t="shared" si="22"/>
        <v>0.32768000000000019</v>
      </c>
      <c r="G59" s="84">
        <f t="shared" si="23"/>
        <v>0.33707970780210217</v>
      </c>
      <c r="H59" s="84">
        <f t="shared" si="24"/>
        <v>0.29678987176506666</v>
      </c>
      <c r="I59" s="4"/>
      <c r="J59" s="98">
        <v>1</v>
      </c>
      <c r="K59" s="94">
        <f t="shared" si="25"/>
        <v>0.05</v>
      </c>
      <c r="L59" s="47">
        <f t="shared" si="26"/>
        <v>0.33707970780210217</v>
      </c>
      <c r="M59" s="47">
        <f t="shared" si="27"/>
        <v>0.30530347672482905</v>
      </c>
      <c r="N59" s="4"/>
      <c r="O59" s="98">
        <v>1</v>
      </c>
      <c r="P59" s="94">
        <f t="shared" si="28"/>
        <v>0.05</v>
      </c>
      <c r="Q59" s="47">
        <f t="shared" si="29"/>
        <v>0.33707970780210217</v>
      </c>
      <c r="R59" s="47">
        <f t="shared" si="30"/>
        <v>0.30530347672482905</v>
      </c>
      <c r="S59" s="51"/>
      <c r="T59" s="131">
        <v>0</v>
      </c>
      <c r="U59" s="136">
        <f t="shared" si="21"/>
        <v>0</v>
      </c>
      <c r="W59" s="63">
        <f t="shared" si="8"/>
        <v>0</v>
      </c>
      <c r="X59" s="63">
        <f t="shared" si="9"/>
        <v>92986.64276852741</v>
      </c>
      <c r="Y59" s="63">
        <f t="shared" si="10"/>
        <v>22118.400000000012</v>
      </c>
      <c r="Z59" s="63">
        <v>0</v>
      </c>
      <c r="AA59" s="63">
        <f t="shared" ca="1" si="11"/>
        <v>0</v>
      </c>
      <c r="AB59" s="64">
        <f t="shared" ca="1" si="0"/>
        <v>115105.04276852742</v>
      </c>
      <c r="AC59" s="51"/>
      <c r="AD59" s="51">
        <f t="shared" si="1"/>
        <v>0</v>
      </c>
      <c r="AE59" s="64">
        <f t="shared" si="12"/>
        <v>84220.867258103332</v>
      </c>
      <c r="AF59" s="64">
        <f t="shared" si="13"/>
        <v>20033.316344142</v>
      </c>
      <c r="AG59" s="51">
        <f t="shared" si="2"/>
        <v>0</v>
      </c>
      <c r="AH59" s="64">
        <f t="shared" ca="1" si="14"/>
        <v>0</v>
      </c>
      <c r="AI59" s="64">
        <f t="shared" ca="1" si="3"/>
        <v>104254.18360224534</v>
      </c>
      <c r="AJ59" s="57"/>
      <c r="AK59" s="51">
        <f ca="1">SUM(AD59:AD$59,AG59:AG$59)/D59+SUM(AE60:AF$60,AH$59:AH60)/D59</f>
        <v>0</v>
      </c>
      <c r="AL59" s="51">
        <f>SUM(AE60:$AF$60)*$F$14/D59</f>
        <v>0</v>
      </c>
      <c r="AM59" s="19"/>
      <c r="AN59" s="51">
        <f ca="1">-SUM(AD59:$AD$60,AH59:$AH$60)/D59</f>
        <v>0</v>
      </c>
      <c r="AO59" s="51">
        <f ca="1">-SUM(W59:$W$60,AA59:$AA$60)</f>
        <v>0</v>
      </c>
      <c r="AP59" s="19"/>
      <c r="AQ59" s="19"/>
      <c r="AR59" s="19"/>
      <c r="AS59" s="19"/>
    </row>
    <row r="60" spans="1:45" outlineLevel="1" x14ac:dyDescent="0.55000000000000004">
      <c r="B60" s="8"/>
      <c r="C60" s="6"/>
      <c r="D60" s="7"/>
      <c r="E60" s="2"/>
      <c r="F60" s="85"/>
      <c r="G60" s="85"/>
      <c r="H60" s="79"/>
      <c r="I60" s="2"/>
      <c r="J60" s="6"/>
      <c r="K60" s="6"/>
      <c r="L60" s="71"/>
      <c r="M60" s="90"/>
      <c r="N60" s="2"/>
      <c r="O60" s="12"/>
      <c r="P60" s="12"/>
      <c r="Q60" s="50"/>
      <c r="R60" s="90"/>
      <c r="S60" s="55"/>
      <c r="T60" s="137"/>
      <c r="U60" s="137"/>
      <c r="W60" s="66"/>
      <c r="X60" s="66"/>
      <c r="Y60" s="66"/>
      <c r="Z60" s="66"/>
      <c r="AA60" s="66"/>
      <c r="AB60" s="66"/>
      <c r="AC60" s="55"/>
      <c r="AD60" s="67"/>
      <c r="AE60" s="68"/>
      <c r="AF60" s="68"/>
      <c r="AG60" s="67"/>
      <c r="AH60" s="67"/>
      <c r="AI60" s="68"/>
      <c r="AJ60" s="57"/>
      <c r="AK60" s="67"/>
      <c r="AL60" s="67"/>
      <c r="AM60" s="19"/>
      <c r="AN60" s="122"/>
      <c r="AO60" s="122"/>
      <c r="AP60" s="19"/>
      <c r="AQ60" s="19"/>
      <c r="AR60" s="19"/>
      <c r="AS60" s="19"/>
    </row>
    <row r="61" spans="1:45" outlineLevel="1" x14ac:dyDescent="0.55000000000000004">
      <c r="A61" s="9"/>
      <c r="B61" s="4"/>
      <c r="C61" s="4"/>
      <c r="D61" s="4"/>
      <c r="E61" s="4"/>
      <c r="F61" s="3"/>
      <c r="G61" s="3"/>
      <c r="H61" s="4"/>
      <c r="I61" s="4"/>
      <c r="J61" s="4"/>
      <c r="K61" s="4"/>
      <c r="L61" s="51"/>
      <c r="M61" s="51"/>
      <c r="N61" s="4"/>
      <c r="O61" s="4"/>
      <c r="P61" s="4"/>
      <c r="Q61" s="51"/>
      <c r="R61" s="51"/>
      <c r="S61" s="51"/>
      <c r="T61" s="4"/>
      <c r="U61" s="4"/>
      <c r="W61" s="51"/>
      <c r="X61" s="51"/>
      <c r="Y61" s="51"/>
      <c r="Z61" s="51"/>
      <c r="AA61" s="51"/>
      <c r="AB61" s="51"/>
      <c r="AC61" s="51"/>
      <c r="AD61" s="51"/>
      <c r="AE61" s="51"/>
      <c r="AF61" s="51"/>
      <c r="AG61" s="51"/>
      <c r="AH61" s="51"/>
      <c r="AI61" s="51"/>
      <c r="AJ61" s="57"/>
      <c r="AK61" s="51"/>
      <c r="AL61" s="51"/>
      <c r="AM61" s="19"/>
      <c r="AN61" s="55"/>
      <c r="AO61" s="55"/>
      <c r="AP61" s="19"/>
      <c r="AQ61" s="19"/>
      <c r="AR61" s="19"/>
      <c r="AS61" s="19"/>
    </row>
    <row r="62" spans="1:45" outlineLevel="1" x14ac:dyDescent="0.55000000000000004">
      <c r="A62" s="9"/>
      <c r="B62" s="24"/>
      <c r="C62" s="24"/>
      <c r="D62" s="25"/>
      <c r="E62" s="4"/>
      <c r="F62" s="26"/>
      <c r="G62" s="26"/>
      <c r="H62" s="26"/>
      <c r="I62" s="4"/>
      <c r="J62" s="80">
        <f>SUM(J40:J59)</f>
        <v>20</v>
      </c>
      <c r="K62" s="95">
        <f>SUM(K40:K59)</f>
        <v>1.0000000000000002</v>
      </c>
      <c r="L62" s="81">
        <f>SUM(L40:L59)</f>
        <v>12.054918829435836</v>
      </c>
      <c r="M62" s="81">
        <f>SUM(M40:M59)</f>
        <v>11.552133142258214</v>
      </c>
      <c r="N62" s="4"/>
      <c r="O62" s="80">
        <f>SUM(O40:O59)</f>
        <v>20</v>
      </c>
      <c r="P62" s="95">
        <f>SUM(P40:P59)</f>
        <v>1.0000000000000002</v>
      </c>
      <c r="Q62" s="81">
        <f>SUM(Q40:Q59)</f>
        <v>12.054918829435836</v>
      </c>
      <c r="R62" s="81">
        <f>SUM(R40:R59)</f>
        <v>11.552133142258214</v>
      </c>
      <c r="S62" s="52"/>
      <c r="T62" s="80">
        <f>SUM(T40:T59)</f>
        <v>1</v>
      </c>
      <c r="U62" s="95">
        <f>SUM(U40:U59)</f>
        <v>1</v>
      </c>
      <c r="W62" s="52">
        <f t="shared" ref="W62:AB62" si="31">SUM(W39:W59)</f>
        <v>-5575985.4732461255</v>
      </c>
      <c r="X62" s="52">
        <f t="shared" si="31"/>
        <v>3233461.2242917418</v>
      </c>
      <c r="Y62" s="52">
        <f t="shared" si="31"/>
        <v>791016.2209869189</v>
      </c>
      <c r="Z62" s="52">
        <f t="shared" si="31"/>
        <v>-900000</v>
      </c>
      <c r="AA62" s="52">
        <f t="shared" ca="1" si="31"/>
        <v>0</v>
      </c>
      <c r="AB62" s="52">
        <f t="shared" ca="1" si="31"/>
        <v>-2451508.0279674646</v>
      </c>
      <c r="AC62" s="51"/>
      <c r="AD62" s="52">
        <f t="shared" ref="AD62:AI62" si="32">SUM(AD39:AD59)</f>
        <v>-5369941.7134137806</v>
      </c>
      <c r="AE62" s="52">
        <f t="shared" si="32"/>
        <v>3097410.3416428976</v>
      </c>
      <c r="AF62" s="52">
        <f t="shared" si="32"/>
        <v>758024.57335620897</v>
      </c>
      <c r="AG62" s="52">
        <f t="shared" si="32"/>
        <v>-900000</v>
      </c>
      <c r="AH62" s="52">
        <f t="shared" ca="1" si="32"/>
        <v>0</v>
      </c>
      <c r="AI62" s="52">
        <f t="shared" ca="1" si="32"/>
        <v>-2414506.7984146737</v>
      </c>
      <c r="AJ62" s="52"/>
      <c r="AK62" s="52"/>
      <c r="AL62" s="52"/>
      <c r="AM62" s="19"/>
      <c r="AN62" s="129"/>
      <c r="AO62" s="51"/>
    </row>
    <row r="63" spans="1:45" ht="15.3" x14ac:dyDescent="0.55000000000000004">
      <c r="A63" s="9"/>
      <c r="B63" s="24"/>
      <c r="C63" s="24"/>
      <c r="D63" s="4"/>
      <c r="E63" s="4"/>
      <c r="F63" s="4"/>
      <c r="G63" s="4"/>
      <c r="H63" s="4"/>
      <c r="I63" s="4"/>
      <c r="J63" s="24"/>
      <c r="K63" s="24"/>
      <c r="L63" s="52"/>
      <c r="M63" s="52"/>
      <c r="N63" s="4"/>
      <c r="O63" s="24"/>
      <c r="P63" s="24"/>
      <c r="Q63" s="52"/>
      <c r="R63" s="52"/>
      <c r="S63" s="51"/>
      <c r="W63" s="52"/>
      <c r="X63" s="72"/>
      <c r="Y63" s="72"/>
      <c r="Z63" s="52"/>
      <c r="AA63" s="52"/>
      <c r="AB63" s="52"/>
      <c r="AC63" s="51"/>
      <c r="AD63" s="52"/>
      <c r="AE63" s="73"/>
      <c r="AF63" s="73"/>
      <c r="AG63" s="52"/>
      <c r="AH63" s="52"/>
      <c r="AI63" s="52"/>
      <c r="AJ63" s="57"/>
      <c r="AK63" s="52"/>
      <c r="AL63" s="52"/>
      <c r="AM63" s="52"/>
      <c r="AN63" s="52"/>
      <c r="AO63" s="51"/>
    </row>
    <row r="64" spans="1:45" ht="15.3" x14ac:dyDescent="0.55000000000000004">
      <c r="A64" s="9"/>
      <c r="B64" s="24"/>
      <c r="C64" s="24"/>
      <c r="D64" s="4"/>
      <c r="E64" s="4"/>
      <c r="F64" s="4"/>
      <c r="G64" s="4"/>
      <c r="H64" s="4"/>
      <c r="I64" s="4"/>
      <c r="J64" s="24"/>
      <c r="K64" s="24"/>
      <c r="L64" s="52"/>
      <c r="M64" s="52"/>
      <c r="N64" s="4"/>
      <c r="O64" s="24"/>
      <c r="P64" s="24"/>
      <c r="Q64" s="52"/>
      <c r="R64" s="52"/>
      <c r="S64" s="51"/>
      <c r="W64" s="52"/>
      <c r="X64" s="72"/>
      <c r="Y64" s="72"/>
      <c r="Z64" s="52"/>
      <c r="AA64" s="52"/>
      <c r="AB64" s="52"/>
      <c r="AC64" s="51"/>
      <c r="AD64" s="52"/>
      <c r="AE64" s="73"/>
      <c r="AF64" s="73"/>
      <c r="AG64" s="52"/>
      <c r="AH64" s="52"/>
      <c r="AI64" s="52"/>
      <c r="AJ64" s="57"/>
      <c r="AK64" s="52"/>
      <c r="AL64" s="52"/>
      <c r="AM64" s="52"/>
      <c r="AN64" s="52"/>
      <c r="AO64" s="51"/>
    </row>
    <row r="65" spans="1:45" ht="18.3" x14ac:dyDescent="0.55000000000000004">
      <c r="A65" s="2"/>
      <c r="B65" s="144" t="s">
        <v>172</v>
      </c>
      <c r="C65" s="108"/>
      <c r="D65" s="109"/>
      <c r="H65" s="106"/>
      <c r="J65" s="2"/>
      <c r="K65" s="2"/>
      <c r="N65" s="2"/>
      <c r="O65" s="2"/>
      <c r="P65" s="2"/>
      <c r="Q65" s="2"/>
      <c r="S65" s="2"/>
      <c r="W65" s="55"/>
      <c r="X65" s="55"/>
      <c r="Y65" s="55"/>
      <c r="Z65" s="55"/>
      <c r="AA65" s="55"/>
      <c r="AB65" s="55"/>
      <c r="AC65" s="2"/>
      <c r="AD65" s="22"/>
      <c r="AE65" s="2"/>
      <c r="AF65" s="2"/>
      <c r="AG65" s="2"/>
      <c r="AH65" s="2"/>
      <c r="AI65" s="2"/>
      <c r="AJ65" s="21"/>
      <c r="AK65" s="2"/>
      <c r="AL65" s="2"/>
      <c r="AM65" s="2"/>
      <c r="AN65" s="55"/>
      <c r="AO65" s="55"/>
    </row>
    <row r="66" spans="1:45" outlineLevel="1" x14ac:dyDescent="0.55000000000000004">
      <c r="D66" s="2"/>
      <c r="E66" s="2"/>
      <c r="F66" s="2"/>
      <c r="G66" s="2"/>
      <c r="H66" s="2"/>
      <c r="I66" s="2"/>
      <c r="J66" s="2"/>
      <c r="K66" s="2"/>
      <c r="L66" s="2"/>
      <c r="M66" s="2"/>
      <c r="N66" s="2"/>
      <c r="O66" s="2"/>
      <c r="P66" s="2"/>
      <c r="Q66" s="2"/>
      <c r="R66" s="2"/>
      <c r="S66" s="2"/>
      <c r="W66" s="55"/>
      <c r="X66" s="55"/>
      <c r="Y66" s="55"/>
      <c r="Z66" s="55"/>
      <c r="AA66" s="114"/>
      <c r="AB66" s="115"/>
      <c r="AC66" s="2"/>
      <c r="AD66" s="2"/>
      <c r="AE66" s="2"/>
      <c r="AF66" s="2"/>
      <c r="AG66" s="2"/>
      <c r="AH66" s="2"/>
      <c r="AI66" s="2"/>
      <c r="AJ66" s="21"/>
      <c r="AK66" s="2"/>
      <c r="AL66" s="2"/>
      <c r="AM66" s="2"/>
      <c r="AN66" s="55"/>
      <c r="AO66" s="55"/>
    </row>
    <row r="67" spans="1:45" ht="19.899999999999999" customHeight="1" outlineLevel="1" x14ac:dyDescent="0.55000000000000004">
      <c r="B67" s="173" t="s">
        <v>68</v>
      </c>
      <c r="C67" s="173"/>
      <c r="D67" s="173"/>
      <c r="E67" s="2"/>
      <c r="F67" s="174" t="s">
        <v>129</v>
      </c>
      <c r="G67" s="174"/>
      <c r="H67" s="174"/>
      <c r="I67" s="2"/>
      <c r="J67" s="174" t="s">
        <v>70</v>
      </c>
      <c r="K67" s="174"/>
      <c r="L67" s="174"/>
      <c r="M67" s="174"/>
      <c r="N67" s="2"/>
      <c r="O67" s="174" t="s">
        <v>39</v>
      </c>
      <c r="P67" s="174"/>
      <c r="Q67" s="174"/>
      <c r="R67" s="174"/>
      <c r="S67" s="2"/>
      <c r="T67" s="170" t="s">
        <v>474</v>
      </c>
      <c r="U67" s="170"/>
      <c r="W67" s="172" t="s">
        <v>32</v>
      </c>
      <c r="X67" s="172"/>
      <c r="Y67" s="172"/>
      <c r="Z67" s="172"/>
      <c r="AA67" s="172"/>
      <c r="AB67" s="172"/>
      <c r="AC67" s="2"/>
      <c r="AD67" s="171" t="s">
        <v>33</v>
      </c>
      <c r="AE67" s="171"/>
      <c r="AF67" s="171"/>
      <c r="AG67" s="171"/>
      <c r="AH67" s="171"/>
      <c r="AI67" s="171"/>
      <c r="AJ67" s="21"/>
      <c r="AK67" s="171" t="s">
        <v>154</v>
      </c>
      <c r="AL67" s="171"/>
      <c r="AM67" s="51"/>
      <c r="AN67" s="172" t="s">
        <v>340</v>
      </c>
      <c r="AO67" s="172"/>
      <c r="AQ67" s="173" t="s">
        <v>147</v>
      </c>
      <c r="AR67" s="173"/>
      <c r="AS67" s="173"/>
    </row>
    <row r="68" spans="1:45" ht="30.6" customHeight="1" outlineLevel="1" x14ac:dyDescent="0.55000000000000004">
      <c r="B68" s="146" t="s">
        <v>149</v>
      </c>
      <c r="C68" s="146" t="s">
        <v>10</v>
      </c>
      <c r="D68" s="78" t="s">
        <v>126</v>
      </c>
      <c r="E68" s="13"/>
      <c r="F68" s="82" t="s">
        <v>129</v>
      </c>
      <c r="G68" s="82" t="s">
        <v>158</v>
      </c>
      <c r="H68" s="134" t="s">
        <v>2</v>
      </c>
      <c r="I68" s="2"/>
      <c r="J68" s="88" t="s">
        <v>127</v>
      </c>
      <c r="K68" s="88" t="s">
        <v>37</v>
      </c>
      <c r="L68" s="48" t="s">
        <v>131</v>
      </c>
      <c r="M68" s="134" t="s">
        <v>2</v>
      </c>
      <c r="N68" s="13"/>
      <c r="O68" s="91" t="s">
        <v>128</v>
      </c>
      <c r="P68" s="91" t="s">
        <v>37</v>
      </c>
      <c r="Q68" s="92" t="s">
        <v>132</v>
      </c>
      <c r="R68" s="134" t="s">
        <v>2</v>
      </c>
      <c r="S68" s="55"/>
      <c r="T68" s="91" t="s">
        <v>159</v>
      </c>
      <c r="U68" s="91" t="s">
        <v>37</v>
      </c>
      <c r="W68" s="53" t="s">
        <v>12</v>
      </c>
      <c r="X68" s="53" t="s">
        <v>35</v>
      </c>
      <c r="Y68" s="53" t="s">
        <v>36</v>
      </c>
      <c r="Z68" s="53" t="s">
        <v>42</v>
      </c>
      <c r="AA68" s="56" t="s">
        <v>121</v>
      </c>
      <c r="AB68" s="53" t="s">
        <v>1</v>
      </c>
      <c r="AC68" s="55"/>
      <c r="AD68" s="53" t="s">
        <v>12</v>
      </c>
      <c r="AE68" s="53" t="s">
        <v>35</v>
      </c>
      <c r="AF68" s="53" t="s">
        <v>36</v>
      </c>
      <c r="AG68" s="56" t="s">
        <v>42</v>
      </c>
      <c r="AH68" s="56" t="s">
        <v>121</v>
      </c>
      <c r="AI68" s="53" t="s">
        <v>1</v>
      </c>
      <c r="AJ68" s="57"/>
      <c r="AK68" s="58" t="s">
        <v>3</v>
      </c>
      <c r="AL68" s="58" t="s">
        <v>0</v>
      </c>
      <c r="AM68" s="51"/>
      <c r="AN68" s="76" t="s">
        <v>46</v>
      </c>
      <c r="AO68" s="76" t="s">
        <v>150</v>
      </c>
      <c r="AQ68" s="58" t="s">
        <v>3</v>
      </c>
      <c r="AR68" s="58" t="s">
        <v>0</v>
      </c>
      <c r="AS68" s="58" t="s">
        <v>12</v>
      </c>
    </row>
    <row r="69" spans="1:45" s="19" customFormat="1" outlineLevel="1" x14ac:dyDescent="0.55000000000000004">
      <c r="B69" s="15" t="s">
        <v>211</v>
      </c>
      <c r="C69" s="15" t="s">
        <v>212</v>
      </c>
      <c r="D69" s="16" t="s">
        <v>213</v>
      </c>
      <c r="E69" s="20"/>
      <c r="F69" s="83" t="s">
        <v>214</v>
      </c>
      <c r="G69" s="83" t="s">
        <v>215</v>
      </c>
      <c r="H69" s="18" t="s">
        <v>216</v>
      </c>
      <c r="I69" s="23"/>
      <c r="J69" s="18" t="s">
        <v>217</v>
      </c>
      <c r="K69" s="18" t="s">
        <v>218</v>
      </c>
      <c r="L69" s="18" t="s">
        <v>219</v>
      </c>
      <c r="M69" s="17" t="s">
        <v>220</v>
      </c>
      <c r="N69" s="20"/>
      <c r="O69" s="17" t="s">
        <v>221</v>
      </c>
      <c r="P69" s="17" t="s">
        <v>222</v>
      </c>
      <c r="Q69" s="17" t="s">
        <v>223</v>
      </c>
      <c r="R69" s="143" t="s">
        <v>224</v>
      </c>
      <c r="S69" s="61"/>
      <c r="T69" s="17" t="s">
        <v>225</v>
      </c>
      <c r="U69" s="17" t="s">
        <v>226</v>
      </c>
      <c r="W69" s="60" t="s">
        <v>227</v>
      </c>
      <c r="X69" s="60" t="s">
        <v>228</v>
      </c>
      <c r="Y69" s="60" t="s">
        <v>229</v>
      </c>
      <c r="Z69" s="60" t="s">
        <v>230</v>
      </c>
      <c r="AA69" s="60" t="s">
        <v>231</v>
      </c>
      <c r="AB69" s="60" t="s">
        <v>232</v>
      </c>
      <c r="AC69" s="61"/>
      <c r="AD69" s="60" t="s">
        <v>233</v>
      </c>
      <c r="AE69" s="60" t="s">
        <v>234</v>
      </c>
      <c r="AF69" s="60" t="s">
        <v>235</v>
      </c>
      <c r="AG69" s="60" t="s">
        <v>236</v>
      </c>
      <c r="AH69" s="60" t="s">
        <v>237</v>
      </c>
      <c r="AI69" s="60" t="s">
        <v>238</v>
      </c>
      <c r="AJ69" s="62"/>
      <c r="AK69" s="60" t="s">
        <v>239</v>
      </c>
      <c r="AL69" s="60" t="s">
        <v>240</v>
      </c>
      <c r="AN69" s="60" t="s">
        <v>241</v>
      </c>
      <c r="AO69" s="60" t="s">
        <v>242</v>
      </c>
      <c r="AQ69" s="60" t="s">
        <v>243</v>
      </c>
      <c r="AR69" s="60" t="s">
        <v>244</v>
      </c>
      <c r="AS69" s="60" t="s">
        <v>245</v>
      </c>
    </row>
    <row r="70" spans="1:45" outlineLevel="1" x14ac:dyDescent="0.55000000000000004">
      <c r="B70" s="1"/>
      <c r="C70" s="3">
        <v>0</v>
      </c>
      <c r="D70" s="87">
        <v>1</v>
      </c>
      <c r="E70" s="2"/>
      <c r="F70" s="84">
        <v>1</v>
      </c>
      <c r="G70" s="84"/>
      <c r="H70" s="5"/>
      <c r="I70" s="2"/>
      <c r="J70" s="2"/>
      <c r="K70" s="2"/>
      <c r="L70" s="55"/>
      <c r="M70" s="55"/>
      <c r="N70" s="2"/>
      <c r="O70" s="10"/>
      <c r="P70" s="10"/>
      <c r="Q70" s="49"/>
      <c r="R70" s="55"/>
      <c r="S70" s="55"/>
      <c r="T70" s="2"/>
      <c r="U70" s="2"/>
      <c r="W70" s="63">
        <f>IFERROR(IF(C70&gt;=$F$7*4,0,-IF($F$22="pattern",U71*$F$21,IF(AND($F$22="single",C70=0),$F$21,IF(AND($F$22="annual",MOD(C70,4)=0),$F$21/$F$7,IF(AND($F$22="semi-ann",MOD(C70,2)=0),$F$21/(2*$F$7),IF($F$22="quarterly",$F$21/(4*$F$7),0)))))*F70),0)</f>
        <v>-450000</v>
      </c>
      <c r="X70" s="63"/>
      <c r="Y70" s="63"/>
      <c r="Z70" s="63">
        <f>-$F$13*$F$21</f>
        <v>-900000</v>
      </c>
      <c r="AA70" s="63"/>
      <c r="AB70" s="64">
        <f t="shared" ref="AB70:AB90" si="33">SUM(W70:AA70)</f>
        <v>-1350000</v>
      </c>
      <c r="AC70" s="55"/>
      <c r="AD70" s="64">
        <f t="shared" ref="AD70:AD90" si="34">W70*$D70</f>
        <v>-450000</v>
      </c>
      <c r="AE70" s="64"/>
      <c r="AF70" s="64"/>
      <c r="AG70" s="64">
        <f t="shared" ref="AG70:AG90" si="35">Z70*$D70</f>
        <v>-900000</v>
      </c>
      <c r="AH70" s="64"/>
      <c r="AI70" s="64">
        <f t="shared" ref="AI70:AI90" si="36">SUM(AD70:AH70)</f>
        <v>-1350000</v>
      </c>
      <c r="AJ70" s="57"/>
      <c r="AK70" s="51">
        <f ca="1">SUM(AD70:AD$90,AG70:AG$90)/D70+SUM(AE71:AF$91,AH71:AH$90)/D70</f>
        <v>-3262157.7113338271</v>
      </c>
      <c r="AL70" s="51">
        <f>SUM(AE71:$AF$91)*$G$14/D70</f>
        <v>126125.11458728576</v>
      </c>
      <c r="AM70" s="51"/>
      <c r="AN70" s="51">
        <f ca="1">-SUM(AD70:$AD$91,AH70:$AH$91)/D70</f>
        <v>6566328.1975766858</v>
      </c>
      <c r="AO70" s="51">
        <f ca="1">-SUM(W70:$W$91,AA70:$AA$91)</f>
        <v>6855177.981072288</v>
      </c>
      <c r="AQ70" s="9">
        <f t="shared" ref="AQ70:AQ90" ca="1" si="37">AK70-AK39</f>
        <v>-847650.91291915346</v>
      </c>
      <c r="AR70" s="9">
        <f t="shared" ref="AR70:AR90" si="38">AL70-AL39</f>
        <v>-66646.631162669597</v>
      </c>
      <c r="AS70" s="9">
        <f t="shared" ref="AS70:AS90" ca="1" si="39">IF($F$27="yes",AN70-AN39,AO70-AO39)</f>
        <v>1196386.4841629053</v>
      </c>
    </row>
    <row r="71" spans="1:45" outlineLevel="1" x14ac:dyDescent="0.55000000000000004">
      <c r="A71" s="9"/>
      <c r="B71" s="1" t="s">
        <v>6</v>
      </c>
      <c r="C71" s="3">
        <v>1</v>
      </c>
      <c r="D71" s="87">
        <f>D70/(1+$F$17)^(1/4)</f>
        <v>0.99506157747984325</v>
      </c>
      <c r="E71" s="4"/>
      <c r="F71" s="84">
        <f t="shared" ref="F71:F82" si="40">(1-IF(C71&lt;$F$8,$F$19,$G$19))^(C71/4)</f>
        <v>0.94574160900317583</v>
      </c>
      <c r="G71" s="84">
        <f>AVERAGE(F70:F71)</f>
        <v>0.97287080450158792</v>
      </c>
      <c r="H71" s="154">
        <f>F71*D71</f>
        <v>0.94107113734302528</v>
      </c>
      <c r="I71" s="4"/>
      <c r="J71" s="98">
        <v>1</v>
      </c>
      <c r="K71" s="94">
        <f t="shared" ref="K71:K82" si="41">J71/$J$93</f>
        <v>0.05</v>
      </c>
      <c r="L71" s="47">
        <f>J71*G71</f>
        <v>0.97287080450158792</v>
      </c>
      <c r="M71" s="47">
        <f>L71*D71</f>
        <v>0.96806635741143421</v>
      </c>
      <c r="N71" s="4"/>
      <c r="O71" s="98">
        <v>1</v>
      </c>
      <c r="P71" s="94">
        <f t="shared" ref="P71:P82" si="42">O71/$O$93</f>
        <v>0.05</v>
      </c>
      <c r="Q71" s="155">
        <f>O71*G71</f>
        <v>0.97287080450158792</v>
      </c>
      <c r="R71" s="155">
        <f>Q71*D71</f>
        <v>0.96806635741143421</v>
      </c>
      <c r="S71" s="51"/>
      <c r="T71" s="138">
        <v>0.20282873599525819</v>
      </c>
      <c r="U71" s="136">
        <f>T71/$T$93</f>
        <v>0.20282873599525819</v>
      </c>
      <c r="W71" s="63">
        <f t="shared" ref="W71:W90" si="43">IFERROR(IF(C71&gt;=$F$7*4,0,-IF($F$22="pattern",U72*$F$21,IF(AND($F$22="single",C71=0),$F$21,IF(AND($F$22="annual",MOD(C71,4)=0),$F$21/$F$7,IF(AND($F$22="semi-ann",MOD(C71,2)=0),$F$21/(2*$F$7),IF($F$22="quarterly",$F$21/(4*$F$7),0)))))*F71),0)</f>
        <v>-425583.72405142913</v>
      </c>
      <c r="X71" s="63">
        <f>$F$21*IF(C71&lt;$F$8,$F$11,$G$11)*P71*((1+$F$18)^(MIN($F$8-1,C71)/4))*((1+$G$18)^(MAX(0,C71-$F$8+1)/4))*F71</f>
        <v>255986.22997766148</v>
      </c>
      <c r="Y71" s="63">
        <f>$F$21*IF(C71&lt;$F$8,$F$12,$G$12)*IF($F$28="risk",P71*F71,IF($F$28="policies IF",F71/($F$7*4),1/($F$7*4)))</f>
        <v>63837.558607714374</v>
      </c>
      <c r="Z71" s="63">
        <v>0</v>
      </c>
      <c r="AA71" s="63">
        <f t="shared" ref="AA71:AA90" ca="1" si="44">IF($F$25="no",0,1)*(F71-F70)*OFFSET(W71,-IF($F$22="single",C71,IF($F$22="annual",MOD(C71,4),IF($F$22="semi-ann",MOD(C71,2),0))),0)*IF($F$22="single",($F$7*4-C71)/($F$7*4),IF(AND($F$22="annual",MOD(C71,4)&lt;&gt;0),(4-MOD(C71,4))/4,IF(AND($F$22="semi-ann",MOD(C71,2)&lt;&gt;0),0.5,0)))</f>
        <v>0</v>
      </c>
      <c r="AB71" s="64">
        <f t="shared" ca="1" si="33"/>
        <v>-105759.93546605328</v>
      </c>
      <c r="AC71" s="51"/>
      <c r="AD71" s="51">
        <f t="shared" si="34"/>
        <v>-423482.01180436136</v>
      </c>
      <c r="AE71" s="64">
        <f t="shared" ref="AE71:AE90" si="45">X71*$D71</f>
        <v>254722.06181468978</v>
      </c>
      <c r="AF71" s="64">
        <f t="shared" ref="AF71:AF90" si="46">Y71*$D71</f>
        <v>63522.301770654209</v>
      </c>
      <c r="AG71" s="51">
        <f t="shared" si="35"/>
        <v>0</v>
      </c>
      <c r="AH71" s="64">
        <f t="shared" ref="AH71:AH90" ca="1" si="47">AA71*$D71</f>
        <v>0</v>
      </c>
      <c r="AI71" s="64">
        <f t="shared" ca="1" si="36"/>
        <v>-105237.64821901737</v>
      </c>
      <c r="AJ71" s="57"/>
      <c r="AK71" s="51">
        <f ca="1">SUM(AD71:AD$90,AG71:AG$90)/D71+SUM(AE72:AF$91,AH72:AH$90)/D71</f>
        <v>-2241471.4077977282</v>
      </c>
      <c r="AL71" s="51">
        <f>SUM(AE72:$AF$91)*$G$14/D71</f>
        <v>117156.35124308366</v>
      </c>
      <c r="AM71" s="51"/>
      <c r="AN71" s="51">
        <f ca="1">-SUM(AD71:$AD$91,AH71:$AH$91)/D71</f>
        <v>6146683.1159005165</v>
      </c>
      <c r="AO71" s="51">
        <f ca="1">-SUM(W71:$W$91,AA71:$AA$91)</f>
        <v>6405177.981072288</v>
      </c>
      <c r="AQ71" s="9">
        <f t="shared" ca="1" si="37"/>
        <v>-851857.74639793625</v>
      </c>
      <c r="AR71" s="9">
        <f t="shared" si="38"/>
        <v>-60580.918061006989</v>
      </c>
      <c r="AS71" s="9">
        <f t="shared" ca="1" si="39"/>
        <v>1202324.0684189117</v>
      </c>
    </row>
    <row r="72" spans="1:45" outlineLevel="1" x14ac:dyDescent="0.55000000000000004">
      <c r="A72" s="9"/>
      <c r="B72" s="1" t="s">
        <v>7</v>
      </c>
      <c r="C72" s="3">
        <v>2</v>
      </c>
      <c r="D72" s="87">
        <f t="shared" ref="D72:D90" si="48">D71/(1+$F$17)^(1/4)</f>
        <v>0.99014754297667418</v>
      </c>
      <c r="E72" s="4"/>
      <c r="F72" s="84">
        <f t="shared" si="40"/>
        <v>0.89442719099991586</v>
      </c>
      <c r="G72" s="84">
        <f t="shared" ref="G72:G82" si="49">AVERAGE(F71:F72)</f>
        <v>0.92008440000154579</v>
      </c>
      <c r="H72" s="154">
        <f t="shared" ref="H72:H82" si="50">F72*D72</f>
        <v>0.88561488554009515</v>
      </c>
      <c r="I72" s="4"/>
      <c r="J72" s="98">
        <v>1</v>
      </c>
      <c r="K72" s="94">
        <f t="shared" si="41"/>
        <v>0.05</v>
      </c>
      <c r="L72" s="47">
        <f t="shared" ref="L72:L82" si="51">J72*G72</f>
        <v>0.92008440000154579</v>
      </c>
      <c r="M72" s="47">
        <f t="shared" ref="M72:M82" si="52">L72*D72</f>
        <v>0.91101930799269804</v>
      </c>
      <c r="N72" s="4"/>
      <c r="O72" s="98">
        <v>1</v>
      </c>
      <c r="P72" s="94">
        <f t="shared" si="42"/>
        <v>0.05</v>
      </c>
      <c r="Q72" s="155">
        <f t="shared" ref="Q72:Q82" si="53">O72*G72</f>
        <v>0.92008440000154579</v>
      </c>
      <c r="R72" s="155">
        <f t="shared" ref="R72:R82" si="54">Q72*D72</f>
        <v>0.91101930799269804</v>
      </c>
      <c r="S72" s="51"/>
      <c r="T72" s="138">
        <v>0.17818906429460918</v>
      </c>
      <c r="U72" s="136">
        <f t="shared" ref="U72:U90" si="55">T72/$T$93</f>
        <v>0.17818906429460918</v>
      </c>
      <c r="W72" s="63">
        <f t="shared" si="43"/>
        <v>-402492.23594996211</v>
      </c>
      <c r="X72" s="63">
        <f t="shared" ref="X72:X90" si="56">$F$21*IF(C72&lt;$F$8,$F$11,$G$11)*P72*((1+$F$18)^(MIN($F$8-1,C72)/4))*((1+$G$18)^(MAX(0,C72-$F$8+1)/4))*F72</f>
        <v>242699.81458583768</v>
      </c>
      <c r="Y72" s="63">
        <f t="shared" ref="Y72:Y90" si="57">$F$21*IF(C72&lt;$F$8,$F$12,$G$12)*IF($F$28="risk",P72*F72,IF($F$28="policies IF",F72/($F$7*4),1/($F$7*4)))</f>
        <v>60373.835392494322</v>
      </c>
      <c r="Z72" s="63">
        <v>0</v>
      </c>
      <c r="AA72" s="63">
        <f t="shared" ca="1" si="44"/>
        <v>0</v>
      </c>
      <c r="AB72" s="64">
        <f t="shared" ca="1" si="33"/>
        <v>-99418.585971630106</v>
      </c>
      <c r="AC72" s="51"/>
      <c r="AD72" s="51">
        <f t="shared" si="34"/>
        <v>-398526.69849304279</v>
      </c>
      <c r="AE72" s="64">
        <f t="shared" si="45"/>
        <v>240308.62509306156</v>
      </c>
      <c r="AF72" s="64">
        <f t="shared" si="46"/>
        <v>59779.004773956425</v>
      </c>
      <c r="AG72" s="51">
        <f t="shared" si="35"/>
        <v>0</v>
      </c>
      <c r="AH72" s="64">
        <f t="shared" ca="1" si="47"/>
        <v>0</v>
      </c>
      <c r="AI72" s="64">
        <f t="shared" ca="1" si="36"/>
        <v>-98439.068626024789</v>
      </c>
      <c r="AJ72" s="57"/>
      <c r="AK72" s="51">
        <f ca="1">SUM(AD72:AD$90,AG72:AG$90)/D72+SUM(AE73:AF$91,AH73:AH$90)/D72</f>
        <v>-2127973.460043686</v>
      </c>
      <c r="AL72" s="51">
        <f>SUM(AE73:$AF$91)*$G$14/D72</f>
        <v>108645.58069831933</v>
      </c>
      <c r="AM72" s="51"/>
      <c r="AN72" s="51">
        <f ca="1">-SUM(AD72:$AD$91,AH72:$AH$91)/D72</f>
        <v>5749492.8166543311</v>
      </c>
      <c r="AO72" s="51">
        <f ca="1">-SUM(W72:$W$91,AA72:$AA$91)</f>
        <v>5979594.257020859</v>
      </c>
      <c r="AQ72" s="9">
        <f t="shared" ca="1" si="37"/>
        <v>-856085.45810341137</v>
      </c>
      <c r="AR72" s="9">
        <f t="shared" si="38"/>
        <v>-54820.104012419004</v>
      </c>
      <c r="AS72" s="9">
        <f t="shared" ca="1" si="39"/>
        <v>1208291.1204992896</v>
      </c>
    </row>
    <row r="73" spans="1:45" outlineLevel="1" x14ac:dyDescent="0.55000000000000004">
      <c r="A73" s="9"/>
      <c r="B73" s="1" t="s">
        <v>8</v>
      </c>
      <c r="C73" s="3">
        <v>3</v>
      </c>
      <c r="D73" s="87">
        <f t="shared" si="48"/>
        <v>0.98525777605216036</v>
      </c>
      <c r="E73" s="4"/>
      <c r="F73" s="84">
        <f t="shared" si="40"/>
        <v>0.84589701075245127</v>
      </c>
      <c r="G73" s="84">
        <f t="shared" si="49"/>
        <v>0.87016210087618351</v>
      </c>
      <c r="H73" s="154">
        <f t="shared" si="50"/>
        <v>0.83342660758313047</v>
      </c>
      <c r="I73" s="4"/>
      <c r="J73" s="98">
        <v>1</v>
      </c>
      <c r="K73" s="94">
        <f t="shared" si="41"/>
        <v>0.05</v>
      </c>
      <c r="L73" s="47">
        <f t="shared" si="51"/>
        <v>0.87016210087618351</v>
      </c>
      <c r="M73" s="47">
        <f t="shared" si="52"/>
        <v>0.85733397631414421</v>
      </c>
      <c r="N73" s="4"/>
      <c r="O73" s="98">
        <v>1</v>
      </c>
      <c r="P73" s="94">
        <f t="shared" si="42"/>
        <v>0.05</v>
      </c>
      <c r="Q73" s="155">
        <f t="shared" si="53"/>
        <v>0.87016210087618351</v>
      </c>
      <c r="R73" s="155">
        <f t="shared" si="54"/>
        <v>0.85733397631414421</v>
      </c>
      <c r="S73" s="51"/>
      <c r="T73" s="138">
        <v>0.20194032380116383</v>
      </c>
      <c r="U73" s="136">
        <f t="shared" si="55"/>
        <v>0.20194032380116383</v>
      </c>
      <c r="W73" s="63">
        <f t="shared" si="43"/>
        <v>-380653.65483860305</v>
      </c>
      <c r="X73" s="63">
        <f t="shared" si="56"/>
        <v>230103.00204483719</v>
      </c>
      <c r="Y73" s="63">
        <f t="shared" si="57"/>
        <v>57098.048225790466</v>
      </c>
      <c r="Z73" s="63">
        <v>0</v>
      </c>
      <c r="AA73" s="63">
        <f t="shared" ca="1" si="44"/>
        <v>0</v>
      </c>
      <c r="AB73" s="64">
        <f t="shared" ca="1" si="33"/>
        <v>-93452.604567975388</v>
      </c>
      <c r="AC73" s="51"/>
      <c r="AD73" s="51">
        <f t="shared" si="34"/>
        <v>-375041.97341240873</v>
      </c>
      <c r="AE73" s="64">
        <f t="shared" si="45"/>
        <v>226710.772057622</v>
      </c>
      <c r="AF73" s="64">
        <f t="shared" si="46"/>
        <v>56256.296011861312</v>
      </c>
      <c r="AG73" s="51">
        <f t="shared" si="35"/>
        <v>0</v>
      </c>
      <c r="AH73" s="64">
        <f t="shared" ca="1" si="47"/>
        <v>0</v>
      </c>
      <c r="AI73" s="64">
        <f t="shared" ca="1" si="36"/>
        <v>-92074.905342925413</v>
      </c>
      <c r="AJ73" s="57"/>
      <c r="AK73" s="51">
        <f ca="1">SUM(AD73:AD$90,AG73:AG$90)/D73+SUM(AE74:AF$91,AH74:AH$90)/D73</f>
        <v>-2021245.7196103772</v>
      </c>
      <c r="AL73" s="51">
        <f>SUM(AE74:$AF$91)*$G$14/D73</f>
        <v>100568.74977293727</v>
      </c>
      <c r="AM73" s="51"/>
      <c r="AN73" s="51">
        <f ca="1">-SUM(AD73:$AD$91,AH73:$AH$91)/D73</f>
        <v>5373537.3787082862</v>
      </c>
      <c r="AO73" s="51">
        <f ca="1">-SUM(W73:$W$91,AA73:$AA$91)</f>
        <v>5577102.0210708966</v>
      </c>
      <c r="AQ73" s="9">
        <f t="shared" ca="1" si="37"/>
        <v>-860334.15165279293</v>
      </c>
      <c r="AR73" s="9">
        <f t="shared" si="38"/>
        <v>-49348.15143205598</v>
      </c>
      <c r="AS73" s="9">
        <f t="shared" ca="1" si="39"/>
        <v>1214287.7866508369</v>
      </c>
    </row>
    <row r="74" spans="1:45" outlineLevel="1" x14ac:dyDescent="0.55000000000000004">
      <c r="A74" s="9"/>
      <c r="B74" s="1" t="s">
        <v>9</v>
      </c>
      <c r="C74" s="3">
        <v>4</v>
      </c>
      <c r="D74" s="87">
        <f t="shared" si="48"/>
        <v>0.98039215686274483</v>
      </c>
      <c r="E74" s="4"/>
      <c r="F74" s="84">
        <f t="shared" si="40"/>
        <v>0.8</v>
      </c>
      <c r="G74" s="84">
        <f t="shared" si="49"/>
        <v>0.82294850537622566</v>
      </c>
      <c r="H74" s="154">
        <f t="shared" si="50"/>
        <v>0.78431372549019596</v>
      </c>
      <c r="I74" s="4"/>
      <c r="J74" s="98">
        <v>1</v>
      </c>
      <c r="K74" s="94">
        <f t="shared" si="41"/>
        <v>0.05</v>
      </c>
      <c r="L74" s="47">
        <f t="shared" si="51"/>
        <v>0.82294850537622566</v>
      </c>
      <c r="M74" s="47">
        <f t="shared" si="52"/>
        <v>0.80681226017277008</v>
      </c>
      <c r="N74" s="4"/>
      <c r="O74" s="98">
        <v>1</v>
      </c>
      <c r="P74" s="94">
        <f t="shared" si="42"/>
        <v>0.05</v>
      </c>
      <c r="Q74" s="155">
        <f t="shared" si="53"/>
        <v>0.82294850537622566</v>
      </c>
      <c r="R74" s="155">
        <f t="shared" si="54"/>
        <v>0.80681226017277008</v>
      </c>
      <c r="S74" s="51"/>
      <c r="T74" s="138">
        <v>0.20709640104961757</v>
      </c>
      <c r="U74" s="136">
        <f t="shared" si="55"/>
        <v>0.20709640104961757</v>
      </c>
      <c r="W74" s="63">
        <f t="shared" si="43"/>
        <v>-360000</v>
      </c>
      <c r="X74" s="63">
        <f t="shared" si="56"/>
        <v>218160</v>
      </c>
      <c r="Y74" s="63">
        <f t="shared" si="57"/>
        <v>54000.000000000007</v>
      </c>
      <c r="Z74" s="63">
        <v>0</v>
      </c>
      <c r="AA74" s="63">
        <f t="shared" ca="1" si="44"/>
        <v>0</v>
      </c>
      <c r="AB74" s="64">
        <f t="shared" ca="1" si="33"/>
        <v>-87840</v>
      </c>
      <c r="AC74" s="51"/>
      <c r="AD74" s="51">
        <f t="shared" si="34"/>
        <v>-352941.17647058814</v>
      </c>
      <c r="AE74" s="64">
        <f t="shared" si="45"/>
        <v>213882.35294117642</v>
      </c>
      <c r="AF74" s="64">
        <f t="shared" si="46"/>
        <v>52941.176470588231</v>
      </c>
      <c r="AG74" s="51">
        <f t="shared" si="35"/>
        <v>0</v>
      </c>
      <c r="AH74" s="64">
        <f t="shared" ca="1" si="47"/>
        <v>0</v>
      </c>
      <c r="AI74" s="64">
        <f t="shared" ca="1" si="36"/>
        <v>-86117.647058823495</v>
      </c>
      <c r="AJ74" s="57"/>
      <c r="AK74" s="51">
        <f ca="1">SUM(AD74:AD$90,AG74:AG$90)/D74+SUM(AE75:AF$91,AH75:AH$90)/D74</f>
        <v>-1920894.2109287768</v>
      </c>
      <c r="AL74" s="51">
        <f>SUM(AE75:$AF$91)*$G$14/D74</f>
        <v>92903.065596462999</v>
      </c>
      <c r="AM74" s="51"/>
      <c r="AN74" s="51">
        <f ca="1">-SUM(AD74:$AD$91,AH74:$AH$91)/D74</f>
        <v>5017663.06414421</v>
      </c>
      <c r="AO74" s="51">
        <f ca="1">-SUM(W74:$W$91,AA74:$AA$91)</f>
        <v>5196448.3662322937</v>
      </c>
      <c r="AQ74" s="9">
        <f t="shared" ca="1" si="37"/>
        <v>-864603.93117753556</v>
      </c>
      <c r="AR74" s="9">
        <f t="shared" si="38"/>
        <v>-44149.862930877411</v>
      </c>
      <c r="AS74" s="9">
        <f t="shared" ca="1" si="39"/>
        <v>1220314.213846161</v>
      </c>
    </row>
    <row r="75" spans="1:45" outlineLevel="1" x14ac:dyDescent="0.55000000000000004">
      <c r="A75" s="9"/>
      <c r="B75" s="1" t="s">
        <v>16</v>
      </c>
      <c r="C75" s="3">
        <v>5</v>
      </c>
      <c r="D75" s="87">
        <f t="shared" si="48"/>
        <v>0.97555056615670888</v>
      </c>
      <c r="E75" s="4"/>
      <c r="F75" s="84">
        <f t="shared" si="40"/>
        <v>0.75659328720254071</v>
      </c>
      <c r="G75" s="84">
        <f t="shared" si="49"/>
        <v>0.77829664360127038</v>
      </c>
      <c r="H75" s="154">
        <f t="shared" si="50"/>
        <v>0.73809500968080399</v>
      </c>
      <c r="I75" s="4"/>
      <c r="J75" s="98">
        <v>1</v>
      </c>
      <c r="K75" s="94">
        <f t="shared" si="41"/>
        <v>0.05</v>
      </c>
      <c r="L75" s="47">
        <f t="shared" si="51"/>
        <v>0.77829664360127038</v>
      </c>
      <c r="M75" s="47">
        <f t="shared" si="52"/>
        <v>0.75926773130308556</v>
      </c>
      <c r="N75" s="4"/>
      <c r="O75" s="98">
        <v>1</v>
      </c>
      <c r="P75" s="94">
        <f t="shared" si="42"/>
        <v>0.05</v>
      </c>
      <c r="Q75" s="155">
        <f t="shared" si="53"/>
        <v>0.77829664360127038</v>
      </c>
      <c r="R75" s="155">
        <f t="shared" si="54"/>
        <v>0.75926773130308556</v>
      </c>
      <c r="S75" s="51"/>
      <c r="T75" s="138">
        <v>8.3175297485096111E-2</v>
      </c>
      <c r="U75" s="136">
        <f t="shared" si="55"/>
        <v>8.3175297485096111E-2</v>
      </c>
      <c r="W75" s="63">
        <f t="shared" si="43"/>
        <v>-340466.97924114333</v>
      </c>
      <c r="X75" s="63">
        <f t="shared" si="56"/>
        <v>206836.87382195049</v>
      </c>
      <c r="Y75" s="63">
        <f t="shared" si="57"/>
        <v>51070.046886171498</v>
      </c>
      <c r="Z75" s="63">
        <v>0</v>
      </c>
      <c r="AA75" s="63">
        <f t="shared" ca="1" si="44"/>
        <v>0</v>
      </c>
      <c r="AB75" s="64">
        <f t="shared" ca="1" si="33"/>
        <v>-82560.058533021336</v>
      </c>
      <c r="AC75" s="51"/>
      <c r="AD75" s="51">
        <f t="shared" si="34"/>
        <v>-332142.75435636181</v>
      </c>
      <c r="AE75" s="64">
        <f t="shared" si="45"/>
        <v>201779.82935908757</v>
      </c>
      <c r="AF75" s="64">
        <f t="shared" si="46"/>
        <v>49821.413153454276</v>
      </c>
      <c r="AG75" s="51">
        <f t="shared" si="35"/>
        <v>0</v>
      </c>
      <c r="AH75" s="64">
        <f t="shared" ca="1" si="47"/>
        <v>0</v>
      </c>
      <c r="AI75" s="64">
        <f t="shared" ca="1" si="36"/>
        <v>-80541.511843819957</v>
      </c>
      <c r="AJ75" s="57"/>
      <c r="AK75" s="51">
        <f ca="1">SUM(AD75:AD$90,AG75:AG$90)/D75+SUM(AE76:AF$91,AH76:AH$90)/D75</f>
        <v>-1826547.7427987494</v>
      </c>
      <c r="AL75" s="51">
        <f>SUM(AE76:$AF$91)*$G$14/D75</f>
        <v>85626.929532715425</v>
      </c>
      <c r="AM75" s="51"/>
      <c r="AN75" s="51">
        <f ca="1">-SUM(AD75:$AD$91,AH75:$AH$91)/D75</f>
        <v>4680778.7272225972</v>
      </c>
      <c r="AO75" s="51">
        <f ca="1">-SUM(W75:$W$91,AA75:$AA$91)</f>
        <v>4836448.3662322937</v>
      </c>
      <c r="AQ75" s="9">
        <f t="shared" ca="1" si="37"/>
        <v>-868894.90132589405</v>
      </c>
      <c r="AR75" s="9">
        <f t="shared" si="38"/>
        <v>-39210.837265407259</v>
      </c>
      <c r="AS75" s="9">
        <f t="shared" ca="1" si="39"/>
        <v>1226370.5497872885</v>
      </c>
    </row>
    <row r="76" spans="1:45" outlineLevel="1" x14ac:dyDescent="0.55000000000000004">
      <c r="A76" s="9"/>
      <c r="B76" s="1" t="s">
        <v>17</v>
      </c>
      <c r="C76" s="3">
        <v>6</v>
      </c>
      <c r="D76" s="87">
        <f t="shared" si="48"/>
        <v>0.9707328852712489</v>
      </c>
      <c r="E76" s="4"/>
      <c r="F76" s="84">
        <f t="shared" si="40"/>
        <v>0.71554175279993271</v>
      </c>
      <c r="G76" s="84">
        <f t="shared" si="49"/>
        <v>0.73606752000123676</v>
      </c>
      <c r="H76" s="154">
        <f t="shared" si="50"/>
        <v>0.69459991022752543</v>
      </c>
      <c r="I76" s="4"/>
      <c r="J76" s="98">
        <v>1</v>
      </c>
      <c r="K76" s="94">
        <f t="shared" si="41"/>
        <v>0.05</v>
      </c>
      <c r="L76" s="47">
        <f t="shared" si="51"/>
        <v>0.73606752000123676</v>
      </c>
      <c r="M76" s="47">
        <f t="shared" si="52"/>
        <v>0.7145249474452533</v>
      </c>
      <c r="N76" s="4"/>
      <c r="O76" s="98">
        <v>1</v>
      </c>
      <c r="P76" s="94">
        <f t="shared" si="42"/>
        <v>0.05</v>
      </c>
      <c r="Q76" s="155">
        <f t="shared" si="53"/>
        <v>0.73606752000123676</v>
      </c>
      <c r="R76" s="155">
        <f t="shared" si="54"/>
        <v>0.7145249474452533</v>
      </c>
      <c r="S76" s="51"/>
      <c r="T76" s="138">
        <v>5.1890782453176132E-2</v>
      </c>
      <c r="U76" s="136">
        <f t="shared" si="55"/>
        <v>5.1890782453176132E-2</v>
      </c>
      <c r="W76" s="63">
        <f t="shared" si="43"/>
        <v>-321993.7887599697</v>
      </c>
      <c r="X76" s="63">
        <f t="shared" si="56"/>
        <v>196101.45018535687</v>
      </c>
      <c r="Y76" s="63">
        <f t="shared" si="57"/>
        <v>48299.068313995464</v>
      </c>
      <c r="Z76" s="63">
        <v>0</v>
      </c>
      <c r="AA76" s="63">
        <f t="shared" ca="1" si="44"/>
        <v>0</v>
      </c>
      <c r="AB76" s="64">
        <f t="shared" ca="1" si="33"/>
        <v>-77593.27026061737</v>
      </c>
      <c r="AC76" s="51"/>
      <c r="AD76" s="51">
        <f t="shared" si="34"/>
        <v>-312569.9596023864</v>
      </c>
      <c r="AE76" s="64">
        <f t="shared" si="45"/>
        <v>190362.12654430757</v>
      </c>
      <c r="AF76" s="64">
        <f t="shared" si="46"/>
        <v>46885.49394035797</v>
      </c>
      <c r="AG76" s="51">
        <f t="shared" si="35"/>
        <v>0</v>
      </c>
      <c r="AH76" s="64">
        <f t="shared" ca="1" si="47"/>
        <v>0</v>
      </c>
      <c r="AI76" s="64">
        <f t="shared" ca="1" si="36"/>
        <v>-75322.339117720869</v>
      </c>
      <c r="AJ76" s="57"/>
      <c r="AK76" s="51">
        <f ca="1">SUM(AD76:AD$90,AG76:AG$90)/D76+SUM(AE77:AF$91,AH77:AH$90)/D76</f>
        <v>-1737856.5991987493</v>
      </c>
      <c r="AL76" s="51">
        <f>SUM(AE77:$AF$91)*$G$14/D76</f>
        <v>78719.874569829262</v>
      </c>
      <c r="AM76" s="51"/>
      <c r="AN76" s="51">
        <f ca="1">-SUM(AD76:$AD$91,AH76:$AH$91)/D76</f>
        <v>4361852.4181930581</v>
      </c>
      <c r="AO76" s="51">
        <f ca="1">-SUM(W76:$W$91,AA76:$AA$91)</f>
        <v>4495981.3869911507</v>
      </c>
      <c r="AQ76" s="9">
        <f t="shared" ca="1" si="37"/>
        <v>-873207.16726548085</v>
      </c>
      <c r="AR76" s="9">
        <f t="shared" si="38"/>
        <v>-34517.427597696485</v>
      </c>
      <c r="AS76" s="9">
        <f t="shared" ca="1" si="39"/>
        <v>1232456.9429092747</v>
      </c>
    </row>
    <row r="77" spans="1:45" outlineLevel="1" x14ac:dyDescent="0.55000000000000004">
      <c r="A77" s="9"/>
      <c r="B77" s="1" t="s">
        <v>18</v>
      </c>
      <c r="C77" s="3">
        <v>7</v>
      </c>
      <c r="D77" s="87">
        <f t="shared" si="48"/>
        <v>0.96593899612956868</v>
      </c>
      <c r="E77" s="4"/>
      <c r="F77" s="84">
        <f t="shared" si="40"/>
        <v>0.83161897782507621</v>
      </c>
      <c r="G77" s="84">
        <f t="shared" si="49"/>
        <v>0.7735803653125044</v>
      </c>
      <c r="H77" s="154">
        <f t="shared" si="50"/>
        <v>0.80329320060265219</v>
      </c>
      <c r="I77" s="4"/>
      <c r="J77" s="98">
        <v>1</v>
      </c>
      <c r="K77" s="94">
        <f t="shared" si="41"/>
        <v>0.05</v>
      </c>
      <c r="L77" s="47">
        <f t="shared" si="51"/>
        <v>0.7735803653125044</v>
      </c>
      <c r="M77" s="47">
        <f t="shared" si="52"/>
        <v>0.74723144149550547</v>
      </c>
      <c r="N77" s="4"/>
      <c r="O77" s="98">
        <v>1</v>
      </c>
      <c r="P77" s="94">
        <f t="shared" si="42"/>
        <v>0.05</v>
      </c>
      <c r="Q77" s="155">
        <f t="shared" si="53"/>
        <v>0.7735803653125044</v>
      </c>
      <c r="R77" s="155">
        <f t="shared" si="54"/>
        <v>0.74723144149550547</v>
      </c>
      <c r="S77" s="51"/>
      <c r="T77" s="138">
        <v>2.7830892374108518E-2</v>
      </c>
      <c r="U77" s="136">
        <f t="shared" si="55"/>
        <v>2.7830892374108518E-2</v>
      </c>
      <c r="W77" s="63">
        <f t="shared" si="43"/>
        <v>-374228.54002128431</v>
      </c>
      <c r="X77" s="63">
        <f t="shared" si="56"/>
        <v>190164.95533158066</v>
      </c>
      <c r="Y77" s="63">
        <f t="shared" si="57"/>
        <v>37422.854002128435</v>
      </c>
      <c r="Z77" s="63">
        <v>0</v>
      </c>
      <c r="AA77" s="63">
        <f t="shared" ca="1" si="44"/>
        <v>0</v>
      </c>
      <c r="AB77" s="64">
        <f t="shared" ca="1" si="33"/>
        <v>-146640.73068757521</v>
      </c>
      <c r="AC77" s="51"/>
      <c r="AD77" s="51">
        <f t="shared" si="34"/>
        <v>-361481.94027119351</v>
      </c>
      <c r="AE77" s="64">
        <f t="shared" si="45"/>
        <v>183687.74605201129</v>
      </c>
      <c r="AF77" s="64">
        <f t="shared" si="46"/>
        <v>36148.194027119353</v>
      </c>
      <c r="AG77" s="51">
        <f t="shared" si="35"/>
        <v>0</v>
      </c>
      <c r="AH77" s="64">
        <f t="shared" ca="1" si="47"/>
        <v>0</v>
      </c>
      <c r="AI77" s="64">
        <f t="shared" ca="1" si="36"/>
        <v>-141646.00019206287</v>
      </c>
      <c r="AJ77" s="57"/>
      <c r="AK77" s="51">
        <f ca="1">SUM(AD77:AD$90,AG77:AG$90)/D77+SUM(AE78:AF$91,AH78:AH$90)/D77</f>
        <v>-1650477.4500177405</v>
      </c>
      <c r="AL77" s="51">
        <f>SUM(AE78:$AF$91)*$G$14/D77</f>
        <v>72282.921640759247</v>
      </c>
      <c r="AM77" s="51"/>
      <c r="AN77" s="51">
        <f ca="1">-SUM(AD77:$AD$91,AH77:$AH$91)/D77</f>
        <v>4059908.1713763825</v>
      </c>
      <c r="AO77" s="51">
        <f ca="1">-SUM(W77:$W$91,AA77:$AA$91)</f>
        <v>4173987.5982311806</v>
      </c>
      <c r="AQ77" s="9">
        <f t="shared" ca="1" si="37"/>
        <v>-873526.97978669847</v>
      </c>
      <c r="AR77" s="9">
        <f t="shared" si="38"/>
        <v>-29936.286297315091</v>
      </c>
      <c r="AS77" s="9">
        <f t="shared" ca="1" si="39"/>
        <v>1238573.5423838538</v>
      </c>
    </row>
    <row r="78" spans="1:45" outlineLevel="1" x14ac:dyDescent="0.55000000000000004">
      <c r="A78" s="9"/>
      <c r="B78" s="1" t="s">
        <v>19</v>
      </c>
      <c r="C78" s="3">
        <v>8</v>
      </c>
      <c r="D78" s="87">
        <f t="shared" si="48"/>
        <v>0.96116878123798488</v>
      </c>
      <c r="E78" s="4"/>
      <c r="F78" s="84">
        <f t="shared" si="40"/>
        <v>0.81</v>
      </c>
      <c r="G78" s="84">
        <f t="shared" si="49"/>
        <v>0.82080948891253813</v>
      </c>
      <c r="H78" s="154">
        <f t="shared" si="50"/>
        <v>0.77854671280276777</v>
      </c>
      <c r="I78" s="4"/>
      <c r="J78" s="98">
        <v>1</v>
      </c>
      <c r="K78" s="94">
        <f t="shared" si="41"/>
        <v>0.05</v>
      </c>
      <c r="L78" s="47">
        <f t="shared" si="51"/>
        <v>0.82080948891253813</v>
      </c>
      <c r="M78" s="47">
        <f t="shared" si="52"/>
        <v>0.78893645608663754</v>
      </c>
      <c r="N78" s="4"/>
      <c r="O78" s="98">
        <v>1</v>
      </c>
      <c r="P78" s="94">
        <f t="shared" si="42"/>
        <v>0.05</v>
      </c>
      <c r="Q78" s="155">
        <f t="shared" si="53"/>
        <v>0.82080948891253813</v>
      </c>
      <c r="R78" s="155">
        <f t="shared" si="54"/>
        <v>0.78893645608663754</v>
      </c>
      <c r="S78" s="51"/>
      <c r="T78" s="138">
        <v>1.5225286106495761E-2</v>
      </c>
      <c r="U78" s="136">
        <f t="shared" si="55"/>
        <v>1.5225286106495761E-2</v>
      </c>
      <c r="W78" s="63">
        <f t="shared" si="43"/>
        <v>-364500</v>
      </c>
      <c r="X78" s="63">
        <f t="shared" si="56"/>
        <v>185452.47280464222</v>
      </c>
      <c r="Y78" s="63">
        <f t="shared" si="57"/>
        <v>36450.000000000007</v>
      </c>
      <c r="Z78" s="63">
        <v>0</v>
      </c>
      <c r="AA78" s="63">
        <f t="shared" ca="1" si="44"/>
        <v>0</v>
      </c>
      <c r="AB78" s="64">
        <f t="shared" ca="1" si="33"/>
        <v>-142597.52719535778</v>
      </c>
      <c r="AC78" s="51"/>
      <c r="AD78" s="51">
        <f t="shared" si="34"/>
        <v>-350346.02076124551</v>
      </c>
      <c r="AE78" s="64">
        <f t="shared" si="45"/>
        <v>178251.1272632085</v>
      </c>
      <c r="AF78" s="64">
        <f t="shared" si="46"/>
        <v>35034.602076124553</v>
      </c>
      <c r="AG78" s="51">
        <f t="shared" si="35"/>
        <v>0</v>
      </c>
      <c r="AH78" s="64">
        <f t="shared" ca="1" si="47"/>
        <v>0</v>
      </c>
      <c r="AI78" s="64">
        <f t="shared" ca="1" si="36"/>
        <v>-137060.29142191247</v>
      </c>
      <c r="AJ78" s="57"/>
      <c r="AK78" s="51">
        <f ca="1">SUM(AD78:AD$90,AG78:AG$90)/D78+SUM(AE79:AF$91,AH79:AH$90)/D78</f>
        <v>-1504485.3188117864</v>
      </c>
      <c r="AL78" s="51">
        <f>SUM(AE79:$AF$91)*$G$14/D78</f>
        <v>65984.582650634329</v>
      </c>
      <c r="AM78" s="51"/>
      <c r="AN78" s="51">
        <f ca="1">-SUM(AD78:$AD$91,AH78:$AH$91)/D78</f>
        <v>3703971.4071662645</v>
      </c>
      <c r="AO78" s="51">
        <f ca="1">-SUM(W78:$W$91,AA78:$AA$91)</f>
        <v>3799759.0582098961</v>
      </c>
      <c r="AQ78" s="9">
        <f t="shared" ca="1" si="37"/>
        <v>-810239.86686574575</v>
      </c>
      <c r="AR78" s="9">
        <f t="shared" si="38"/>
        <v>-25768.268221903767</v>
      </c>
      <c r="AS78" s="9">
        <f t="shared" ca="1" si="39"/>
        <v>1174668.9377694619</v>
      </c>
    </row>
    <row r="79" spans="1:45" outlineLevel="1" x14ac:dyDescent="0.55000000000000004">
      <c r="A79" s="9"/>
      <c r="B79" s="1" t="s">
        <v>20</v>
      </c>
      <c r="C79" s="3">
        <v>9</v>
      </c>
      <c r="D79" s="87">
        <f t="shared" si="48"/>
        <v>0.95642212368304769</v>
      </c>
      <c r="E79" s="4"/>
      <c r="F79" s="84">
        <f t="shared" si="40"/>
        <v>0.78894303460449045</v>
      </c>
      <c r="G79" s="84">
        <f t="shared" si="49"/>
        <v>0.7994715173022453</v>
      </c>
      <c r="H79" s="154">
        <f t="shared" si="50"/>
        <v>0.75456257262137494</v>
      </c>
      <c r="I79" s="4"/>
      <c r="J79" s="98">
        <v>1</v>
      </c>
      <c r="K79" s="94">
        <f t="shared" si="41"/>
        <v>0.05</v>
      </c>
      <c r="L79" s="47">
        <f t="shared" si="51"/>
        <v>0.7994715173022453</v>
      </c>
      <c r="M79" s="47">
        <f t="shared" si="52"/>
        <v>0.76463224640232186</v>
      </c>
      <c r="N79" s="4"/>
      <c r="O79" s="98">
        <v>1</v>
      </c>
      <c r="P79" s="94">
        <f t="shared" si="42"/>
        <v>0.05</v>
      </c>
      <c r="Q79" s="155">
        <f t="shared" si="53"/>
        <v>0.7994715173022453</v>
      </c>
      <c r="R79" s="155">
        <f t="shared" si="54"/>
        <v>0.76463224640232186</v>
      </c>
      <c r="S79" s="51"/>
      <c r="T79" s="138">
        <v>1.3868361840445591E-2</v>
      </c>
      <c r="U79" s="136">
        <f t="shared" si="55"/>
        <v>1.3868361840445591E-2</v>
      </c>
      <c r="W79" s="63">
        <f t="shared" si="43"/>
        <v>-355024.3655720207</v>
      </c>
      <c r="X79" s="63">
        <f t="shared" si="56"/>
        <v>180856.77042538123</v>
      </c>
      <c r="Y79" s="63">
        <f t="shared" si="57"/>
        <v>35502.436557202076</v>
      </c>
      <c r="Z79" s="63">
        <v>0</v>
      </c>
      <c r="AA79" s="63">
        <f t="shared" ca="1" si="44"/>
        <v>0</v>
      </c>
      <c r="AB79" s="64">
        <f t="shared" ca="1" si="33"/>
        <v>-138665.1585894374</v>
      </c>
      <c r="AC79" s="51"/>
      <c r="AD79" s="51">
        <f t="shared" si="34"/>
        <v>-339553.15767961874</v>
      </c>
      <c r="AE79" s="64">
        <f t="shared" si="45"/>
        <v>172975.41645270053</v>
      </c>
      <c r="AF79" s="64">
        <f t="shared" si="46"/>
        <v>33955.315767961874</v>
      </c>
      <c r="AG79" s="51">
        <f t="shared" si="35"/>
        <v>0</v>
      </c>
      <c r="AH79" s="64">
        <f t="shared" ca="1" si="47"/>
        <v>0</v>
      </c>
      <c r="AI79" s="64">
        <f t="shared" ca="1" si="36"/>
        <v>-132622.42545895634</v>
      </c>
      <c r="AJ79" s="57"/>
      <c r="AK79" s="51">
        <f ca="1">SUM(AD79:AD$90,AG79:AG$90)/D79+SUM(AE80:AF$91,AH80:AH$90)/D79</f>
        <v>-1362002.1949260898</v>
      </c>
      <c r="AL79" s="51">
        <f>SUM(AE80:$AF$91)*$G$14/D79</f>
        <v>59821.283409738346</v>
      </c>
      <c r="AM79" s="51"/>
      <c r="AN79" s="51">
        <f ca="1">-SUM(AD79:$AD$91,AH79:$AH$91)/D79</f>
        <v>3356044.9752507014</v>
      </c>
      <c r="AO79" s="51">
        <f ca="1">-SUM(W79:$W$91,AA79:$AA$91)</f>
        <v>3435259.0582098961</v>
      </c>
      <c r="AQ79" s="9">
        <f t="shared" ca="1" si="37"/>
        <v>-745760.34304304281</v>
      </c>
      <c r="AR79" s="9">
        <f t="shared" si="38"/>
        <v>-21987.919005472868</v>
      </c>
      <c r="AS79" s="9">
        <f t="shared" ca="1" si="39"/>
        <v>1103619.0750634302</v>
      </c>
    </row>
    <row r="80" spans="1:45" outlineLevel="1" x14ac:dyDescent="0.55000000000000004">
      <c r="A80" s="9"/>
      <c r="B80" s="1" t="s">
        <v>21</v>
      </c>
      <c r="C80" s="3">
        <v>10</v>
      </c>
      <c r="D80" s="87">
        <f t="shared" si="48"/>
        <v>0.95169890712867522</v>
      </c>
      <c r="E80" s="4"/>
      <c r="F80" s="84">
        <f t="shared" si="40"/>
        <v>0.76843347142091623</v>
      </c>
      <c r="G80" s="84">
        <f t="shared" si="49"/>
        <v>0.77868825301270328</v>
      </c>
      <c r="H80" s="154">
        <f t="shared" si="50"/>
        <v>0.73131729495238007</v>
      </c>
      <c r="I80" s="4"/>
      <c r="J80" s="98">
        <v>1</v>
      </c>
      <c r="K80" s="94">
        <f t="shared" si="41"/>
        <v>0.05</v>
      </c>
      <c r="L80" s="47">
        <f t="shared" si="51"/>
        <v>0.77868825301270328</v>
      </c>
      <c r="M80" s="47">
        <f t="shared" si="52"/>
        <v>0.74107675938612705</v>
      </c>
      <c r="N80" s="4"/>
      <c r="O80" s="98">
        <v>1</v>
      </c>
      <c r="P80" s="94">
        <f t="shared" si="42"/>
        <v>0.05</v>
      </c>
      <c r="Q80" s="155">
        <f t="shared" si="53"/>
        <v>0.77868825301270328</v>
      </c>
      <c r="R80" s="155">
        <f t="shared" si="54"/>
        <v>0.74107675938612705</v>
      </c>
      <c r="S80" s="51"/>
      <c r="T80" s="138">
        <v>5.0809898881113407E-3</v>
      </c>
      <c r="U80" s="136">
        <f t="shared" si="55"/>
        <v>5.0809898881113407E-3</v>
      </c>
      <c r="W80" s="63">
        <f t="shared" si="43"/>
        <v>-345795.06213941233</v>
      </c>
      <c r="X80" s="63">
        <f t="shared" si="56"/>
        <v>176374.95426202953</v>
      </c>
      <c r="Y80" s="63">
        <f t="shared" si="57"/>
        <v>34579.506213941233</v>
      </c>
      <c r="Z80" s="63">
        <v>0</v>
      </c>
      <c r="AA80" s="63">
        <f t="shared" ca="1" si="44"/>
        <v>0</v>
      </c>
      <c r="AB80" s="64">
        <f t="shared" ca="1" si="33"/>
        <v>-134840.60166344157</v>
      </c>
      <c r="AC80" s="51"/>
      <c r="AD80" s="51">
        <f t="shared" si="34"/>
        <v>-329092.78272857104</v>
      </c>
      <c r="AE80" s="64">
        <f t="shared" si="45"/>
        <v>167855.85121604358</v>
      </c>
      <c r="AF80" s="64">
        <f t="shared" si="46"/>
        <v>32909.278272857104</v>
      </c>
      <c r="AG80" s="51">
        <f t="shared" si="35"/>
        <v>0</v>
      </c>
      <c r="AH80" s="64">
        <f t="shared" ca="1" si="47"/>
        <v>0</v>
      </c>
      <c r="AI80" s="64">
        <f t="shared" ca="1" si="36"/>
        <v>-128327.65323967036</v>
      </c>
      <c r="AJ80" s="57"/>
      <c r="AK80" s="51">
        <f ca="1">SUM(AD80:AD$90,AG80:AG$90)/D80+SUM(AE81:AF$91,AH81:AH$90)/D80</f>
        <v>-1222929.8518928573</v>
      </c>
      <c r="AL80" s="51">
        <f>SUM(AE81:$AF$91)*$G$14/D80</f>
        <v>53789.538531643004</v>
      </c>
      <c r="AM80" s="51"/>
      <c r="AN80" s="51">
        <f ca="1">-SUM(AD80:$AD$91,AH80:$AH$91)/D80</f>
        <v>3015914.4696142906</v>
      </c>
      <c r="AO80" s="51">
        <f ca="1">-SUM(W80:$W$91,AA80:$AA$91)</f>
        <v>3080234.6926378752</v>
      </c>
      <c r="AQ80" s="9">
        <f t="shared" ca="1" si="37"/>
        <v>-680265.76231504744</v>
      </c>
      <c r="AR80" s="9">
        <f t="shared" si="38"/>
        <v>-18571.216037165024</v>
      </c>
      <c r="AS80" s="9">
        <f t="shared" ca="1" si="39"/>
        <v>1026035.2886603202</v>
      </c>
    </row>
    <row r="81" spans="1:45" outlineLevel="1" x14ac:dyDescent="0.55000000000000004">
      <c r="A81" s="9"/>
      <c r="B81" s="1" t="s">
        <v>22</v>
      </c>
      <c r="C81" s="3">
        <v>11</v>
      </c>
      <c r="D81" s="87">
        <f t="shared" si="48"/>
        <v>0.94699901581330248</v>
      </c>
      <c r="E81" s="4"/>
      <c r="F81" s="84">
        <f t="shared" si="40"/>
        <v>0.74845708004256861</v>
      </c>
      <c r="G81" s="84">
        <f t="shared" si="49"/>
        <v>0.75844527573174236</v>
      </c>
      <c r="H81" s="154">
        <f t="shared" si="50"/>
        <v>0.7087881181788106</v>
      </c>
      <c r="I81" s="4"/>
      <c r="J81" s="98">
        <v>1</v>
      </c>
      <c r="K81" s="94">
        <f t="shared" si="41"/>
        <v>0.05</v>
      </c>
      <c r="L81" s="47">
        <f t="shared" si="51"/>
        <v>0.75844527573174236</v>
      </c>
      <c r="M81" s="47">
        <f t="shared" si="52"/>
        <v>0.71824692966620884</v>
      </c>
      <c r="N81" s="4"/>
      <c r="O81" s="98">
        <v>1</v>
      </c>
      <c r="P81" s="94">
        <f t="shared" si="42"/>
        <v>0.05</v>
      </c>
      <c r="Q81" s="155">
        <f t="shared" si="53"/>
        <v>0.75844527573174236</v>
      </c>
      <c r="R81" s="155">
        <f t="shared" si="54"/>
        <v>0.71824692966620884</v>
      </c>
      <c r="S81" s="51"/>
      <c r="T81" s="138">
        <v>6.0769058883075608E-3</v>
      </c>
      <c r="U81" s="136">
        <f t="shared" si="55"/>
        <v>6.0769058883075608E-3</v>
      </c>
      <c r="W81" s="63">
        <f t="shared" si="43"/>
        <v>-336805.6860191559</v>
      </c>
      <c r="X81" s="63">
        <f t="shared" si="56"/>
        <v>172004.20209741473</v>
      </c>
      <c r="Y81" s="63">
        <f t="shared" si="57"/>
        <v>33680.568601915591</v>
      </c>
      <c r="Z81" s="63">
        <v>0</v>
      </c>
      <c r="AA81" s="63">
        <f t="shared" ca="1" si="44"/>
        <v>0</v>
      </c>
      <c r="AB81" s="64">
        <f t="shared" ca="1" si="33"/>
        <v>-131120.91531982558</v>
      </c>
      <c r="AC81" s="51"/>
      <c r="AD81" s="51">
        <f t="shared" si="34"/>
        <v>-318954.65318046481</v>
      </c>
      <c r="AE81" s="64">
        <f t="shared" si="45"/>
        <v>162887.81010200412</v>
      </c>
      <c r="AF81" s="64">
        <f t="shared" si="46"/>
        <v>31895.465318046481</v>
      </c>
      <c r="AG81" s="51">
        <f t="shared" si="35"/>
        <v>0</v>
      </c>
      <c r="AH81" s="64">
        <f t="shared" ca="1" si="47"/>
        <v>0</v>
      </c>
      <c r="AI81" s="64">
        <f t="shared" ca="1" si="36"/>
        <v>-124171.37776041421</v>
      </c>
      <c r="AJ81" s="57"/>
      <c r="AK81" s="51">
        <f ca="1">SUM(AD81:AD$90,AG81:AG$90)/D81+SUM(AE82:AF$91,AH82:AH$90)/D81</f>
        <v>-1087172.7203947981</v>
      </c>
      <c r="AL81" s="51">
        <f>SUM(AE82:$AF$91)*$G$14/D81</f>
        <v>47885.949209749844</v>
      </c>
      <c r="AM81" s="51"/>
      <c r="AN81" s="51">
        <f ca="1">-SUM(AD81:$AD$91,AH81:$AH$91)/D81</f>
        <v>2683371.0273864595</v>
      </c>
      <c r="AO81" s="51">
        <f ca="1">-SUM(W81:$W$91,AA81:$AA$91)</f>
        <v>2734439.6304984628</v>
      </c>
      <c r="AQ81" s="9">
        <f t="shared" ca="1" si="37"/>
        <v>-613920.16640213761</v>
      </c>
      <c r="AR81" s="9">
        <f t="shared" si="38"/>
        <v>-15495.490972993255</v>
      </c>
      <c r="AS81" s="9">
        <f t="shared" ca="1" si="39"/>
        <v>942489.66973893717</v>
      </c>
    </row>
    <row r="82" spans="1:45" outlineLevel="1" x14ac:dyDescent="0.55000000000000004">
      <c r="A82" s="9"/>
      <c r="B82" s="1" t="s">
        <v>23</v>
      </c>
      <c r="C82" s="3">
        <v>12</v>
      </c>
      <c r="D82" s="87">
        <f t="shared" si="48"/>
        <v>0.94232233454704384</v>
      </c>
      <c r="E82" s="4"/>
      <c r="F82" s="84">
        <f t="shared" si="40"/>
        <v>0.72900000000000009</v>
      </c>
      <c r="G82" s="84">
        <f t="shared" si="49"/>
        <v>0.73872854002128441</v>
      </c>
      <c r="H82" s="154">
        <f t="shared" si="50"/>
        <v>0.68695298188479503</v>
      </c>
      <c r="I82" s="4"/>
      <c r="J82" s="98">
        <v>1</v>
      </c>
      <c r="K82" s="94">
        <f t="shared" si="41"/>
        <v>0.05</v>
      </c>
      <c r="L82" s="47">
        <f t="shared" si="51"/>
        <v>0.73872854002128441</v>
      </c>
      <c r="M82" s="47">
        <f t="shared" si="52"/>
        <v>0.696120402429386</v>
      </c>
      <c r="N82" s="4"/>
      <c r="O82" s="98">
        <v>1</v>
      </c>
      <c r="P82" s="94">
        <f t="shared" si="42"/>
        <v>0.05</v>
      </c>
      <c r="Q82" s="155">
        <f t="shared" si="53"/>
        <v>0.73872854002128441</v>
      </c>
      <c r="R82" s="155">
        <f t="shared" si="54"/>
        <v>0.696120402429386</v>
      </c>
      <c r="S82" s="51"/>
      <c r="T82" s="138">
        <v>6.7969588236102014E-3</v>
      </c>
      <c r="U82" s="136">
        <f t="shared" si="55"/>
        <v>6.7969588236102014E-3</v>
      </c>
      <c r="W82" s="63">
        <f t="shared" si="43"/>
        <v>-328050.00000000006</v>
      </c>
      <c r="X82" s="63">
        <f t="shared" si="56"/>
        <v>167741.76165179888</v>
      </c>
      <c r="Y82" s="63">
        <f t="shared" si="57"/>
        <v>32805</v>
      </c>
      <c r="Z82" s="63">
        <v>0</v>
      </c>
      <c r="AA82" s="63">
        <f t="shared" ca="1" si="44"/>
        <v>0</v>
      </c>
      <c r="AB82" s="64">
        <f t="shared" ca="1" si="33"/>
        <v>-127503.23834820118</v>
      </c>
      <c r="AC82" s="51"/>
      <c r="AD82" s="51">
        <f t="shared" si="34"/>
        <v>-309128.84184815781</v>
      </c>
      <c r="AE82" s="64">
        <f t="shared" si="45"/>
        <v>158066.80844075693</v>
      </c>
      <c r="AF82" s="64">
        <f t="shared" si="46"/>
        <v>30912.884184815772</v>
      </c>
      <c r="AG82" s="51">
        <f t="shared" si="35"/>
        <v>0</v>
      </c>
      <c r="AH82" s="64">
        <f t="shared" ca="1" si="47"/>
        <v>0</v>
      </c>
      <c r="AI82" s="64">
        <f t="shared" ca="1" si="36"/>
        <v>-120149.14922258511</v>
      </c>
      <c r="AJ82" s="57"/>
      <c r="AK82" s="51">
        <f ca="1">SUM(AD82:AD$90,AG82:AG$90)/D82+SUM(AE83:AF$91,AH83:AH$90)/D82</f>
        <v>-954637.81627383456</v>
      </c>
      <c r="AL82" s="51">
        <f>SUM(AE83:$AF$91)*$G$14/D82</f>
        <v>42107.20104944177</v>
      </c>
      <c r="AM82" s="51"/>
      <c r="AN82" s="51">
        <f ca="1">-SUM(AD82:$AD$91,AH82:$AH$91)/D82</f>
        <v>2358211.1845885604</v>
      </c>
      <c r="AO82" s="51">
        <f ca="1">-SUM(W82:$W$91,AA82:$AA$91)</f>
        <v>2397633.9444793072</v>
      </c>
      <c r="AQ82" s="9">
        <f t="shared" ca="1" si="37"/>
        <v>-546875.13224248495</v>
      </c>
      <c r="AR82" s="9">
        <f t="shared" si="38"/>
        <v>-12739.356371939386</v>
      </c>
      <c r="AS82" s="9">
        <f t="shared" ca="1" si="39"/>
        <v>853517.35212958767</v>
      </c>
    </row>
    <row r="83" spans="1:45" outlineLevel="1" x14ac:dyDescent="0.55000000000000004">
      <c r="A83" s="9"/>
      <c r="B83" s="1" t="s">
        <v>24</v>
      </c>
      <c r="C83" s="3">
        <v>13</v>
      </c>
      <c r="D83" s="87">
        <f t="shared" si="48"/>
        <v>0.93766874870887007</v>
      </c>
      <c r="E83" s="4"/>
      <c r="F83" s="84">
        <f t="shared" ref="F83:F90" si="58">(1-IF(C83&lt;$F$8,$F$19,$G$19))^(C83/4)</f>
        <v>0.71004873114404132</v>
      </c>
      <c r="G83" s="84">
        <f t="shared" ref="G83:G90" si="59">AVERAGE(F82:F83)</f>
        <v>0.71952436557202071</v>
      </c>
      <c r="H83" s="154">
        <f t="shared" ref="H83:H90" si="60">F83*D83</f>
        <v>0.66579050525415417</v>
      </c>
      <c r="I83" s="4"/>
      <c r="J83" s="98">
        <v>1</v>
      </c>
      <c r="K83" s="94">
        <f t="shared" ref="K83:K90" si="61">J83/$J$93</f>
        <v>0.05</v>
      </c>
      <c r="L83" s="47">
        <f t="shared" ref="L83:L90" si="62">J83*G83</f>
        <v>0.71952436557202071</v>
      </c>
      <c r="M83" s="47">
        <f t="shared" ref="M83:M90" si="63">L83*D83</f>
        <v>0.67467551153146021</v>
      </c>
      <c r="N83" s="4"/>
      <c r="O83" s="98">
        <v>1</v>
      </c>
      <c r="P83" s="94">
        <f t="shared" ref="P83:P90" si="64">O83/$O$93</f>
        <v>0.05</v>
      </c>
      <c r="Q83" s="155">
        <f t="shared" ref="Q83:Q90" si="65">O83*G83</f>
        <v>0.71952436557202071</v>
      </c>
      <c r="R83" s="155">
        <f t="shared" ref="R83:R90" si="66">Q83*D83</f>
        <v>0.67467551153146021</v>
      </c>
      <c r="S83" s="51"/>
      <c r="T83" s="138">
        <v>0</v>
      </c>
      <c r="U83" s="136">
        <f t="shared" si="55"/>
        <v>0</v>
      </c>
      <c r="W83" s="63">
        <f t="shared" si="43"/>
        <v>-319521.92901481857</v>
      </c>
      <c r="X83" s="63">
        <f t="shared" si="56"/>
        <v>163584.94884975729</v>
      </c>
      <c r="Y83" s="63">
        <f t="shared" si="57"/>
        <v>31952.19290148186</v>
      </c>
      <c r="Z83" s="63">
        <v>0</v>
      </c>
      <c r="AA83" s="63">
        <f t="shared" ca="1" si="44"/>
        <v>0</v>
      </c>
      <c r="AB83" s="64">
        <f t="shared" ca="1" si="33"/>
        <v>-123984.78726357942</v>
      </c>
      <c r="AC83" s="51"/>
      <c r="AD83" s="51">
        <f t="shared" si="34"/>
        <v>-299605.72736436932</v>
      </c>
      <c r="AE83" s="64">
        <f t="shared" si="45"/>
        <v>153388.49429555642</v>
      </c>
      <c r="AF83" s="64">
        <f t="shared" si="46"/>
        <v>29960.572736436938</v>
      </c>
      <c r="AG83" s="51">
        <f t="shared" si="35"/>
        <v>0</v>
      </c>
      <c r="AH83" s="64">
        <f t="shared" ca="1" si="47"/>
        <v>0</v>
      </c>
      <c r="AI83" s="64">
        <f t="shared" ca="1" si="36"/>
        <v>-116256.66033237596</v>
      </c>
      <c r="AJ83" s="57"/>
      <c r="AK83" s="51">
        <f ca="1">SUM(AD83:AD$90,AG83:AG$90)/D83+SUM(AE84:AF$91,AH84:AH$90)/D83</f>
        <v>-825234.67048184411</v>
      </c>
      <c r="AL83" s="51">
        <f>SUM(AE84:$AF$91)*$G$14/D83</f>
        <v>36450.061954452111</v>
      </c>
      <c r="AM83" s="51"/>
      <c r="AN83" s="51">
        <f ca="1">-SUM(AD83:$AD$91,AH83:$AH$91)/D83</f>
        <v>2040236.7356302477</v>
      </c>
      <c r="AO83" s="51">
        <f ca="1">-SUM(W83:$W$91,AA83:$AA$91)</f>
        <v>2069583.9444793072</v>
      </c>
      <c r="AQ83" s="9">
        <f t="shared" ca="1" si="37"/>
        <v>-479270.56878796348</v>
      </c>
      <c r="AR83" s="9">
        <f t="shared" si="38"/>
        <v>-10282.636238534978</v>
      </c>
      <c r="AS83" s="9">
        <f t="shared" ca="1" si="39"/>
        <v>759618.67007662542</v>
      </c>
    </row>
    <row r="84" spans="1:45" outlineLevel="1" x14ac:dyDescent="0.55000000000000004">
      <c r="A84" s="9"/>
      <c r="B84" s="1" t="s">
        <v>25</v>
      </c>
      <c r="C84" s="3">
        <v>14</v>
      </c>
      <c r="D84" s="87">
        <f t="shared" si="48"/>
        <v>0.93303814424379905</v>
      </c>
      <c r="E84" s="4"/>
      <c r="F84" s="84">
        <f t="shared" si="58"/>
        <v>0.6915901242788246</v>
      </c>
      <c r="G84" s="84">
        <f t="shared" si="59"/>
        <v>0.70081942771143302</v>
      </c>
      <c r="H84" s="154">
        <f t="shared" si="60"/>
        <v>0.64527996613445282</v>
      </c>
      <c r="I84" s="4"/>
      <c r="J84" s="98">
        <v>1</v>
      </c>
      <c r="K84" s="94">
        <f t="shared" si="61"/>
        <v>0.05</v>
      </c>
      <c r="L84" s="47">
        <f t="shared" si="62"/>
        <v>0.70081942771143302</v>
      </c>
      <c r="M84" s="47">
        <f t="shared" si="63"/>
        <v>0.65389125828187677</v>
      </c>
      <c r="N84" s="4"/>
      <c r="O84" s="98">
        <v>1</v>
      </c>
      <c r="P84" s="94">
        <f t="shared" si="64"/>
        <v>0.05</v>
      </c>
      <c r="Q84" s="155">
        <f t="shared" si="65"/>
        <v>0.70081942771143302</v>
      </c>
      <c r="R84" s="155">
        <f t="shared" si="66"/>
        <v>0.65389125828187677</v>
      </c>
      <c r="S84" s="51"/>
      <c r="T84" s="138">
        <v>0</v>
      </c>
      <c r="U84" s="136">
        <f t="shared" si="55"/>
        <v>0</v>
      </c>
      <c r="W84" s="63">
        <f t="shared" si="43"/>
        <v>-311215.55592547107</v>
      </c>
      <c r="X84" s="63">
        <f t="shared" si="56"/>
        <v>159531.14613000565</v>
      </c>
      <c r="Y84" s="63">
        <f t="shared" si="57"/>
        <v>31121.555592547105</v>
      </c>
      <c r="Z84" s="63">
        <v>0</v>
      </c>
      <c r="AA84" s="63">
        <f t="shared" ca="1" si="44"/>
        <v>0</v>
      </c>
      <c r="AB84" s="64">
        <f t="shared" ca="1" si="33"/>
        <v>-120562.8542029183</v>
      </c>
      <c r="AC84" s="51"/>
      <c r="AD84" s="51">
        <f t="shared" si="34"/>
        <v>-290375.98476050381</v>
      </c>
      <c r="AE84" s="64">
        <f t="shared" si="45"/>
        <v>148848.6445342268</v>
      </c>
      <c r="AF84" s="64">
        <f t="shared" si="46"/>
        <v>29037.598476050378</v>
      </c>
      <c r="AG84" s="51">
        <f t="shared" si="35"/>
        <v>0</v>
      </c>
      <c r="AH84" s="64">
        <f t="shared" ca="1" si="47"/>
        <v>0</v>
      </c>
      <c r="AI84" s="64">
        <f t="shared" ca="1" si="36"/>
        <v>-112489.74175022663</v>
      </c>
      <c r="AJ84" s="57"/>
      <c r="AK84" s="51">
        <f ca="1">SUM(AD84:AD$90,AG84:AG$90)/D84+SUM(AE85:AF$91,AH85:AH$90)/D84</f>
        <v>-698875.26092117664</v>
      </c>
      <c r="AL84" s="51">
        <f>SUM(AE85:$AF$91)*$G$14/D84</f>
        <v>30911.380066094513</v>
      </c>
      <c r="AM84" s="51"/>
      <c r="AN84" s="51">
        <f ca="1">-SUM(AD84:$AD$91,AH84:$AH$91)/D84</f>
        <v>1729254.5964576604</v>
      </c>
      <c r="AO84" s="51">
        <f ca="1">-SUM(W84:$W$91,AA84:$AA$91)</f>
        <v>1750062.0154644884</v>
      </c>
      <c r="AQ84" s="9">
        <f t="shared" ca="1" si="37"/>
        <v>-411235.466048748</v>
      </c>
      <c r="AR84" s="9">
        <f t="shared" si="38"/>
        <v>-8106.300265517064</v>
      </c>
      <c r="AS84" s="9">
        <f t="shared" ca="1" si="39"/>
        <v>661261.19495300041</v>
      </c>
    </row>
    <row r="85" spans="1:45" outlineLevel="1" x14ac:dyDescent="0.55000000000000004">
      <c r="A85" s="9"/>
      <c r="B85" s="1" t="s">
        <v>26</v>
      </c>
      <c r="C85" s="3">
        <v>15</v>
      </c>
      <c r="D85" s="87">
        <f t="shared" si="48"/>
        <v>0.92843040766010021</v>
      </c>
      <c r="E85" s="4"/>
      <c r="F85" s="84">
        <f t="shared" si="58"/>
        <v>0.67361137203831178</v>
      </c>
      <c r="G85" s="84">
        <f t="shared" si="59"/>
        <v>0.68260074815856819</v>
      </c>
      <c r="H85" s="154">
        <f t="shared" si="60"/>
        <v>0.6254012807460092</v>
      </c>
      <c r="I85" s="4"/>
      <c r="J85" s="98">
        <v>1</v>
      </c>
      <c r="K85" s="94">
        <f t="shared" si="61"/>
        <v>0.05</v>
      </c>
      <c r="L85" s="47">
        <f t="shared" si="62"/>
        <v>0.68260074815856819</v>
      </c>
      <c r="M85" s="47">
        <f t="shared" si="63"/>
        <v>0.63374729088194881</v>
      </c>
      <c r="N85" s="4"/>
      <c r="O85" s="98">
        <v>1</v>
      </c>
      <c r="P85" s="94">
        <f t="shared" si="64"/>
        <v>0.05</v>
      </c>
      <c r="Q85" s="155">
        <f t="shared" si="65"/>
        <v>0.68260074815856819</v>
      </c>
      <c r="R85" s="155">
        <f t="shared" si="66"/>
        <v>0.63374729088194881</v>
      </c>
      <c r="S85" s="51"/>
      <c r="T85" s="138">
        <v>0</v>
      </c>
      <c r="U85" s="136">
        <f t="shared" si="55"/>
        <v>0</v>
      </c>
      <c r="W85" s="63">
        <f t="shared" si="43"/>
        <v>-303125.11741724028</v>
      </c>
      <c r="X85" s="63">
        <f t="shared" si="56"/>
        <v>155577.80079711159</v>
      </c>
      <c r="Y85" s="63">
        <f t="shared" si="57"/>
        <v>30312.511741724029</v>
      </c>
      <c r="Z85" s="63">
        <v>0</v>
      </c>
      <c r="AA85" s="63">
        <f t="shared" ca="1" si="44"/>
        <v>0</v>
      </c>
      <c r="AB85" s="64">
        <f t="shared" ca="1" si="33"/>
        <v>-117234.80487840467</v>
      </c>
      <c r="AC85" s="51"/>
      <c r="AD85" s="51">
        <f t="shared" si="34"/>
        <v>-281430.57633570413</v>
      </c>
      <c r="AE85" s="64">
        <f t="shared" si="45"/>
        <v>144443.16101692416</v>
      </c>
      <c r="AF85" s="64">
        <f t="shared" si="46"/>
        <v>28143.057633570414</v>
      </c>
      <c r="AG85" s="51">
        <f t="shared" si="35"/>
        <v>0</v>
      </c>
      <c r="AH85" s="64">
        <f t="shared" ca="1" si="47"/>
        <v>0</v>
      </c>
      <c r="AI85" s="64">
        <f t="shared" ca="1" si="36"/>
        <v>-108844.35768520956</v>
      </c>
      <c r="AJ85" s="57"/>
      <c r="AK85" s="51">
        <f ca="1">SUM(AD85:AD$90,AG85:AG$90)/D85+SUM(AE86:AF$91,AH86:AH$90)/D85</f>
        <v>-575473.94612412306</v>
      </c>
      <c r="AL85" s="51">
        <f>SUM(AE86:$AF$91)*$G$14/D85</f>
        <v>25488.081754030776</v>
      </c>
      <c r="AM85" s="51"/>
      <c r="AN85" s="51">
        <f ca="1">-SUM(AD85:$AD$91,AH85:$AH$91)/D85</f>
        <v>1425076.6712584822</v>
      </c>
      <c r="AO85" s="51">
        <f ca="1">-SUM(W85:$W$91,AA85:$AA$91)</f>
        <v>1438846.4595390172</v>
      </c>
      <c r="AQ85" s="9">
        <f t="shared" ca="1" si="37"/>
        <v>-342888.59916456381</v>
      </c>
      <c r="AR85" s="9">
        <f t="shared" si="38"/>
        <v>-6192.4015810206656</v>
      </c>
      <c r="AS85" s="9">
        <f t="shared" ca="1" si="39"/>
        <v>558881.65759789408</v>
      </c>
    </row>
    <row r="86" spans="1:45" outlineLevel="1" x14ac:dyDescent="0.55000000000000004">
      <c r="A86" s="9"/>
      <c r="B86" s="1" t="s">
        <v>27</v>
      </c>
      <c r="C86" s="3">
        <v>16</v>
      </c>
      <c r="D86" s="87">
        <f t="shared" si="48"/>
        <v>0.92384542602651332</v>
      </c>
      <c r="E86" s="4"/>
      <c r="F86" s="84">
        <f t="shared" si="58"/>
        <v>0.65610000000000013</v>
      </c>
      <c r="G86" s="84">
        <f t="shared" si="59"/>
        <v>0.6648556860191559</v>
      </c>
      <c r="H86" s="154">
        <f t="shared" si="60"/>
        <v>0.60613498401599553</v>
      </c>
      <c r="I86" s="4"/>
      <c r="J86" s="98">
        <v>1</v>
      </c>
      <c r="K86" s="94">
        <f t="shared" si="61"/>
        <v>0.05</v>
      </c>
      <c r="L86" s="47">
        <f t="shared" si="62"/>
        <v>0.6648556860191559</v>
      </c>
      <c r="M86" s="47">
        <f t="shared" si="63"/>
        <v>0.61422388449651688</v>
      </c>
      <c r="N86" s="4"/>
      <c r="O86" s="98">
        <v>1</v>
      </c>
      <c r="P86" s="94">
        <f t="shared" si="64"/>
        <v>0.05</v>
      </c>
      <c r="Q86" s="155">
        <f t="shared" si="65"/>
        <v>0.6648556860191559</v>
      </c>
      <c r="R86" s="155">
        <f t="shared" si="66"/>
        <v>0.61422388449651688</v>
      </c>
      <c r="S86" s="51"/>
      <c r="T86" s="138">
        <v>0</v>
      </c>
      <c r="U86" s="136">
        <f t="shared" si="55"/>
        <v>0</v>
      </c>
      <c r="W86" s="63">
        <f t="shared" si="43"/>
        <v>-295245.00000000006</v>
      </c>
      <c r="X86" s="63">
        <f t="shared" si="56"/>
        <v>151722.42341405209</v>
      </c>
      <c r="Y86" s="63">
        <f t="shared" si="57"/>
        <v>29524.500000000007</v>
      </c>
      <c r="Z86" s="63">
        <v>0</v>
      </c>
      <c r="AA86" s="63">
        <f t="shared" ca="1" si="44"/>
        <v>0</v>
      </c>
      <c r="AB86" s="64">
        <f t="shared" ca="1" si="33"/>
        <v>-113998.07658594797</v>
      </c>
      <c r="AC86" s="51"/>
      <c r="AD86" s="51">
        <f t="shared" si="34"/>
        <v>-272760.74280719797</v>
      </c>
      <c r="AE86" s="64">
        <f t="shared" si="45"/>
        <v>140168.06689672999</v>
      </c>
      <c r="AF86" s="64">
        <f t="shared" si="46"/>
        <v>27276.0742807198</v>
      </c>
      <c r="AG86" s="51">
        <f t="shared" si="35"/>
        <v>0</v>
      </c>
      <c r="AH86" s="64">
        <f t="shared" ca="1" si="47"/>
        <v>0</v>
      </c>
      <c r="AI86" s="64">
        <f t="shared" ca="1" si="36"/>
        <v>-105316.60162974818</v>
      </c>
      <c r="AJ86" s="57"/>
      <c r="AK86" s="51">
        <f ca="1">SUM(AD86:AD$90,AG86:AG$90)/D86+SUM(AE87:AF$91,AH87:AH$90)/D86</f>
        <v>-454947.40072184952</v>
      </c>
      <c r="AL86" s="51">
        <f>SUM(AE87:$AF$91)*$G$14/D86</f>
        <v>20177.169657286686</v>
      </c>
      <c r="AM86" s="51"/>
      <c r="AN86" s="51">
        <f ca="1">-SUM(AD86:$AD$91,AH86:$AH$91)/D86</f>
        <v>1127519.7226314058</v>
      </c>
      <c r="AO86" s="51">
        <f ca="1">-SUM(W86:$W$91,AA86:$AA$91)</f>
        <v>1135721.3421217771</v>
      </c>
      <c r="AQ86" s="9">
        <f t="shared" ca="1" si="37"/>
        <v>-274339.1901213763</v>
      </c>
      <c r="AR86" s="9">
        <f t="shared" si="38"/>
        <v>-4524.0178150666397</v>
      </c>
      <c r="AS86" s="9">
        <f t="shared" ca="1" si="39"/>
        <v>452887.76258386613</v>
      </c>
    </row>
    <row r="87" spans="1:45" outlineLevel="1" x14ac:dyDescent="0.55000000000000004">
      <c r="A87" s="9"/>
      <c r="B87" s="1" t="s">
        <v>28</v>
      </c>
      <c r="C87" s="3">
        <v>17</v>
      </c>
      <c r="D87" s="87">
        <f t="shared" si="48"/>
        <v>0.91928308696948025</v>
      </c>
      <c r="E87" s="4"/>
      <c r="F87" s="84">
        <f t="shared" si="58"/>
        <v>0.63904385802963726</v>
      </c>
      <c r="G87" s="84">
        <f t="shared" si="59"/>
        <v>0.64757192901481875</v>
      </c>
      <c r="H87" s="154">
        <f t="shared" si="60"/>
        <v>0.58746221051837122</v>
      </c>
      <c r="I87" s="4"/>
      <c r="J87" s="98">
        <v>1</v>
      </c>
      <c r="K87" s="94">
        <f t="shared" si="61"/>
        <v>0.05</v>
      </c>
      <c r="L87" s="47">
        <f t="shared" si="62"/>
        <v>0.64757192901481875</v>
      </c>
      <c r="M87" s="47">
        <f t="shared" si="63"/>
        <v>0.59530192193952369</v>
      </c>
      <c r="N87" s="4"/>
      <c r="O87" s="98">
        <v>1</v>
      </c>
      <c r="P87" s="94">
        <f t="shared" si="64"/>
        <v>0.05</v>
      </c>
      <c r="Q87" s="155">
        <f t="shared" si="65"/>
        <v>0.64757192901481875</v>
      </c>
      <c r="R87" s="155">
        <f t="shared" si="66"/>
        <v>0.59530192193952369</v>
      </c>
      <c r="S87" s="51"/>
      <c r="T87" s="138">
        <v>0</v>
      </c>
      <c r="U87" s="136">
        <f t="shared" si="55"/>
        <v>0</v>
      </c>
      <c r="W87" s="63">
        <f t="shared" si="43"/>
        <v>-287569.73611333675</v>
      </c>
      <c r="X87" s="63">
        <f t="shared" si="56"/>
        <v>147962.58623460543</v>
      </c>
      <c r="Y87" s="63">
        <f t="shared" si="57"/>
        <v>28756.97361133368</v>
      </c>
      <c r="Z87" s="63">
        <v>0</v>
      </c>
      <c r="AA87" s="63">
        <f t="shared" ca="1" si="44"/>
        <v>0</v>
      </c>
      <c r="AB87" s="64">
        <f t="shared" ca="1" si="33"/>
        <v>-110850.17626739763</v>
      </c>
      <c r="AC87" s="51"/>
      <c r="AD87" s="51">
        <f t="shared" si="34"/>
        <v>-264357.99473326706</v>
      </c>
      <c r="AE87" s="64">
        <f t="shared" si="45"/>
        <v>136019.50302973602</v>
      </c>
      <c r="AF87" s="64">
        <f t="shared" si="46"/>
        <v>26435.799473326708</v>
      </c>
      <c r="AG87" s="51">
        <f t="shared" si="35"/>
        <v>0</v>
      </c>
      <c r="AH87" s="64">
        <f t="shared" ca="1" si="47"/>
        <v>0</v>
      </c>
      <c r="AI87" s="64">
        <f t="shared" ca="1" si="36"/>
        <v>-101902.69223020432</v>
      </c>
      <c r="AJ87" s="57"/>
      <c r="AK87" s="51">
        <f ca="1">SUM(AD87:AD$90,AG87:AG$90)/D87+SUM(AE88:AF$91,AH88:AH$90)/D87</f>
        <v>-337214.55265464756</v>
      </c>
      <c r="AL87" s="51">
        <f>SUM(AE88:$AF$91)*$G$14/D87</f>
        <v>14975.720774258549</v>
      </c>
      <c r="AM87" s="51"/>
      <c r="AN87" s="51">
        <f ca="1">-SUM(AD87:$AD$91,AH87:$AH$91)/D87</f>
        <v>836405.24512993253</v>
      </c>
      <c r="AO87" s="51">
        <f ca="1">-SUM(W87:$W$91,AA87:$AA$91)</f>
        <v>840476.34212177689</v>
      </c>
      <c r="AQ87" s="9">
        <f t="shared" ca="1" si="37"/>
        <v>-205687.5295822164</v>
      </c>
      <c r="AR87" s="9">
        <f t="shared" si="38"/>
        <v>-3085.1953098588347</v>
      </c>
      <c r="AS87" s="9">
        <f t="shared" ca="1" si="39"/>
        <v>343659.90037515369</v>
      </c>
    </row>
    <row r="88" spans="1:45" outlineLevel="1" x14ac:dyDescent="0.55000000000000004">
      <c r="A88" s="9"/>
      <c r="B88" s="1" t="s">
        <v>29</v>
      </c>
      <c r="C88" s="3">
        <v>18</v>
      </c>
      <c r="D88" s="87">
        <f t="shared" si="48"/>
        <v>0.91474327867039096</v>
      </c>
      <c r="E88" s="4"/>
      <c r="F88" s="84">
        <f t="shared" si="58"/>
        <v>0.62243111185094213</v>
      </c>
      <c r="G88" s="84">
        <f t="shared" si="59"/>
        <v>0.63073748494028969</v>
      </c>
      <c r="H88" s="154">
        <f t="shared" si="60"/>
        <v>0.56936467600098761</v>
      </c>
      <c r="I88" s="4"/>
      <c r="J88" s="98">
        <v>1</v>
      </c>
      <c r="K88" s="94">
        <f t="shared" si="61"/>
        <v>0.05</v>
      </c>
      <c r="L88" s="47">
        <f t="shared" si="62"/>
        <v>0.63073748494028969</v>
      </c>
      <c r="M88" s="47">
        <f t="shared" si="63"/>
        <v>0.57696287495459697</v>
      </c>
      <c r="N88" s="4"/>
      <c r="O88" s="98">
        <v>1</v>
      </c>
      <c r="P88" s="94">
        <f t="shared" si="64"/>
        <v>0.05</v>
      </c>
      <c r="Q88" s="155">
        <f t="shared" si="65"/>
        <v>0.63073748494028969</v>
      </c>
      <c r="R88" s="155">
        <f t="shared" si="66"/>
        <v>0.57696287495459697</v>
      </c>
      <c r="S88" s="51"/>
      <c r="T88" s="138">
        <v>0</v>
      </c>
      <c r="U88" s="136">
        <f t="shared" si="55"/>
        <v>0</v>
      </c>
      <c r="W88" s="63">
        <f t="shared" si="43"/>
        <v>-280094.00033292396</v>
      </c>
      <c r="X88" s="63">
        <f t="shared" si="56"/>
        <v>144295.92167459012</v>
      </c>
      <c r="Y88" s="63">
        <f t="shared" si="57"/>
        <v>28009.400033292397</v>
      </c>
      <c r="Z88" s="63">
        <v>0</v>
      </c>
      <c r="AA88" s="63">
        <f t="shared" ca="1" si="44"/>
        <v>0</v>
      </c>
      <c r="AB88" s="64">
        <f t="shared" ca="1" si="33"/>
        <v>-107788.67862504144</v>
      </c>
      <c r="AC88" s="51"/>
      <c r="AD88" s="51">
        <f t="shared" si="34"/>
        <v>-256214.10420044445</v>
      </c>
      <c r="AE88" s="64">
        <f t="shared" si="45"/>
        <v>131993.7244913805</v>
      </c>
      <c r="AF88" s="64">
        <f t="shared" si="46"/>
        <v>25621.410420044445</v>
      </c>
      <c r="AG88" s="51">
        <f t="shared" si="35"/>
        <v>0</v>
      </c>
      <c r="AH88" s="64">
        <f t="shared" ca="1" si="47"/>
        <v>0</v>
      </c>
      <c r="AI88" s="64">
        <f t="shared" ca="1" si="36"/>
        <v>-98598.9692890195</v>
      </c>
      <c r="AJ88" s="57"/>
      <c r="AK88" s="51">
        <f ca="1">SUM(AD88:AD$90,AG88:AG$90)/D88+SUM(AE89:AF$91,AH89:AH$90)/D88</f>
        <v>-222196.52207665204</v>
      </c>
      <c r="AL88" s="51">
        <f>SUM(AE89:$AF$91)*$G$14/D88</f>
        <v>9880.8846004841271</v>
      </c>
      <c r="AM88" s="51"/>
      <c r="AN88" s="51">
        <f ca="1">-SUM(AD88:$AD$91,AH88:$AH$91)/D88</f>
        <v>551559.34209278959</v>
      </c>
      <c r="AO88" s="51">
        <f ca="1">-SUM(W88:$W$91,AA88:$AA$91)</f>
        <v>552906.60600844026</v>
      </c>
      <c r="AQ88" s="9">
        <f t="shared" ca="1" si="37"/>
        <v>-137025.56115924963</v>
      </c>
      <c r="AR88" s="9">
        <f t="shared" si="38"/>
        <v>-1860.8963076477867</v>
      </c>
      <c r="AS88" s="9">
        <f t="shared" ca="1" si="39"/>
        <v>231552.76301274891</v>
      </c>
    </row>
    <row r="89" spans="1:45" outlineLevel="1" x14ac:dyDescent="0.55000000000000004">
      <c r="A89" s="9"/>
      <c r="B89" s="1" t="s">
        <v>30</v>
      </c>
      <c r="C89" s="3">
        <v>19</v>
      </c>
      <c r="D89" s="87">
        <f t="shared" si="48"/>
        <v>0.91022588986284314</v>
      </c>
      <c r="E89" s="4"/>
      <c r="F89" s="84">
        <f t="shared" si="58"/>
        <v>0.60625023483448059</v>
      </c>
      <c r="G89" s="84">
        <f t="shared" si="59"/>
        <v>0.61434067334271136</v>
      </c>
      <c r="H89" s="154">
        <f t="shared" si="60"/>
        <v>0.55182465948177273</v>
      </c>
      <c r="I89" s="4"/>
      <c r="J89" s="98">
        <v>1</v>
      </c>
      <c r="K89" s="94">
        <f t="shared" si="61"/>
        <v>0.05</v>
      </c>
      <c r="L89" s="47">
        <f t="shared" si="62"/>
        <v>0.61434067334271136</v>
      </c>
      <c r="M89" s="47">
        <f t="shared" si="63"/>
        <v>0.55918878607230771</v>
      </c>
      <c r="N89" s="4"/>
      <c r="O89" s="98">
        <v>1</v>
      </c>
      <c r="P89" s="94">
        <f t="shared" si="64"/>
        <v>0.05</v>
      </c>
      <c r="Q89" s="155">
        <f t="shared" si="65"/>
        <v>0.61434067334271136</v>
      </c>
      <c r="R89" s="155">
        <f t="shared" si="66"/>
        <v>0.55918878607230771</v>
      </c>
      <c r="S89" s="51"/>
      <c r="T89" s="138">
        <v>0</v>
      </c>
      <c r="U89" s="136">
        <f t="shared" si="55"/>
        <v>0</v>
      </c>
      <c r="W89" s="63">
        <f t="shared" si="43"/>
        <v>-272812.60567551624</v>
      </c>
      <c r="X89" s="63">
        <f t="shared" si="56"/>
        <v>140720.12082098742</v>
      </c>
      <c r="Y89" s="63">
        <f t="shared" si="57"/>
        <v>27281.260567551628</v>
      </c>
      <c r="Z89" s="63">
        <v>0</v>
      </c>
      <c r="AA89" s="63">
        <f t="shared" ca="1" si="44"/>
        <v>0</v>
      </c>
      <c r="AB89" s="64">
        <f t="shared" ca="1" si="33"/>
        <v>-104811.2242869772</v>
      </c>
      <c r="AC89" s="51"/>
      <c r="AD89" s="51">
        <f t="shared" si="34"/>
        <v>-248321.09676679771</v>
      </c>
      <c r="AE89" s="64">
        <f t="shared" si="45"/>
        <v>128087.09719589008</v>
      </c>
      <c r="AF89" s="64">
        <f t="shared" si="46"/>
        <v>24832.109676679775</v>
      </c>
      <c r="AG89" s="51">
        <f t="shared" si="35"/>
        <v>0</v>
      </c>
      <c r="AH89" s="64">
        <f t="shared" ca="1" si="47"/>
        <v>0</v>
      </c>
      <c r="AI89" s="64">
        <f t="shared" ca="1" si="36"/>
        <v>-95401.889894227861</v>
      </c>
      <c r="AJ89" s="57"/>
      <c r="AK89" s="51">
        <f ca="1">SUM(AD89:AD$90,AG89:AG$90)/D89+SUM(AE90:AF$91,AH90:AH$90)/D89</f>
        <v>-109816.56190942018</v>
      </c>
      <c r="AL89" s="51">
        <f>SUM(AE90:$AF$91)*$G$14/D89</f>
        <v>4889.8813129828814</v>
      </c>
      <c r="AM89" s="51"/>
      <c r="AN89" s="51">
        <f ca="1">-SUM(AD89:$AD$91,AH89:$AH$91)/D89</f>
        <v>272812.60567551624</v>
      </c>
      <c r="AO89" s="51">
        <f ca="1">-SUM(W89:$W$91,AA89:$AA$91)</f>
        <v>272812.60567551624</v>
      </c>
      <c r="AQ89" s="9">
        <f t="shared" ca="1" si="37"/>
        <v>-68437.430320664062</v>
      </c>
      <c r="AR89" s="9">
        <f t="shared" si="38"/>
        <v>-836.94895867390551</v>
      </c>
      <c r="AS89" s="9">
        <f t="shared" ca="1" si="39"/>
        <v>116896.86865362438</v>
      </c>
    </row>
    <row r="90" spans="1:45" outlineLevel="1" x14ac:dyDescent="0.55000000000000004">
      <c r="A90" s="9"/>
      <c r="B90" s="1" t="s">
        <v>31</v>
      </c>
      <c r="C90" s="3">
        <v>20</v>
      </c>
      <c r="D90" s="87">
        <f t="shared" si="48"/>
        <v>0.90573080982991483</v>
      </c>
      <c r="E90" s="4"/>
      <c r="F90" s="84">
        <f t="shared" si="58"/>
        <v>0.59049000000000018</v>
      </c>
      <c r="G90" s="84">
        <f t="shared" si="59"/>
        <v>0.59837011741724044</v>
      </c>
      <c r="H90" s="154">
        <f t="shared" si="60"/>
        <v>0.53482498589646654</v>
      </c>
      <c r="I90" s="4"/>
      <c r="J90" s="98">
        <v>1</v>
      </c>
      <c r="K90" s="94">
        <f t="shared" si="61"/>
        <v>0.05</v>
      </c>
      <c r="L90" s="47">
        <f t="shared" si="62"/>
        <v>0.59837011741724044</v>
      </c>
      <c r="M90" s="47">
        <f t="shared" si="63"/>
        <v>0.54196225102633844</v>
      </c>
      <c r="N90" s="4"/>
      <c r="O90" s="98">
        <v>1</v>
      </c>
      <c r="P90" s="94">
        <f t="shared" si="64"/>
        <v>0.05</v>
      </c>
      <c r="Q90" s="155">
        <f t="shared" si="65"/>
        <v>0.59837011741724044</v>
      </c>
      <c r="R90" s="155">
        <f t="shared" si="66"/>
        <v>0.54196225102633844</v>
      </c>
      <c r="S90" s="51"/>
      <c r="T90" s="138">
        <v>0</v>
      </c>
      <c r="U90" s="136">
        <f t="shared" si="55"/>
        <v>0</v>
      </c>
      <c r="W90" s="63">
        <f t="shared" si="43"/>
        <v>0</v>
      </c>
      <c r="X90" s="63">
        <f t="shared" si="56"/>
        <v>137232.93197801011</v>
      </c>
      <c r="Y90" s="63">
        <f t="shared" si="57"/>
        <v>26572.050000000007</v>
      </c>
      <c r="Z90" s="63">
        <v>0</v>
      </c>
      <c r="AA90" s="63">
        <f t="shared" ca="1" si="44"/>
        <v>0</v>
      </c>
      <c r="AB90" s="64">
        <f t="shared" ca="1" si="33"/>
        <v>163804.98197801012</v>
      </c>
      <c r="AC90" s="51"/>
      <c r="AD90" s="51">
        <f t="shared" si="34"/>
        <v>0</v>
      </c>
      <c r="AE90" s="64">
        <f t="shared" si="45"/>
        <v>124296.0946157767</v>
      </c>
      <c r="AF90" s="64">
        <f t="shared" si="46"/>
        <v>24067.124365340995</v>
      </c>
      <c r="AG90" s="51">
        <f t="shared" si="35"/>
        <v>0</v>
      </c>
      <c r="AH90" s="64">
        <f t="shared" ca="1" si="47"/>
        <v>0</v>
      </c>
      <c r="AI90" s="64">
        <f t="shared" ca="1" si="36"/>
        <v>148363.21898111771</v>
      </c>
      <c r="AJ90" s="57"/>
      <c r="AK90" s="51">
        <f ca="1">SUM(AD90:AD$90,AG90:AG$90)/D90+SUM(AE91:AF$91,AH$90:AH91)/D90</f>
        <v>0</v>
      </c>
      <c r="AL90" s="51">
        <f>SUM(AE91:$AF$91)*$G$14/D90</f>
        <v>0</v>
      </c>
      <c r="AM90" s="51"/>
      <c r="AN90" s="51">
        <f ca="1">-SUM(AD90:$AD$91,AH90:$AH$91)/D90</f>
        <v>0</v>
      </c>
      <c r="AO90" s="51">
        <f ca="1">-SUM(W90:$W$91,AA90:$AA$91)</f>
        <v>0</v>
      </c>
      <c r="AQ90" s="9">
        <f t="shared" ca="1" si="37"/>
        <v>0</v>
      </c>
      <c r="AR90" s="9">
        <f t="shared" si="38"/>
        <v>0</v>
      </c>
      <c r="AS90" s="9">
        <f t="shared" ca="1" si="39"/>
        <v>0</v>
      </c>
    </row>
    <row r="91" spans="1:45" outlineLevel="1" x14ac:dyDescent="0.55000000000000004">
      <c r="B91" s="8"/>
      <c r="C91" s="6"/>
      <c r="D91" s="7"/>
      <c r="E91" s="2"/>
      <c r="F91" s="85"/>
      <c r="G91" s="85"/>
      <c r="H91" s="79"/>
      <c r="I91" s="2"/>
      <c r="J91" s="6"/>
      <c r="K91" s="6"/>
      <c r="L91" s="71"/>
      <c r="M91" s="90"/>
      <c r="N91" s="2"/>
      <c r="O91" s="12"/>
      <c r="P91" s="12"/>
      <c r="Q91" s="50"/>
      <c r="R91" s="90"/>
      <c r="S91" s="55"/>
      <c r="T91" s="137"/>
      <c r="U91" s="137"/>
      <c r="W91" s="66"/>
      <c r="X91" s="66"/>
      <c r="Y91" s="66"/>
      <c r="Z91" s="66"/>
      <c r="AA91" s="66"/>
      <c r="AB91" s="66"/>
      <c r="AC91" s="55"/>
      <c r="AD91" s="67"/>
      <c r="AE91" s="68"/>
      <c r="AF91" s="68"/>
      <c r="AG91" s="67"/>
      <c r="AH91" s="67"/>
      <c r="AI91" s="68"/>
      <c r="AJ91" s="57"/>
      <c r="AK91" s="67"/>
      <c r="AL91" s="67"/>
      <c r="AM91" s="51"/>
      <c r="AN91" s="122"/>
      <c r="AO91" s="122"/>
      <c r="AQ91" s="67"/>
      <c r="AR91" s="67"/>
      <c r="AS91" s="67"/>
    </row>
    <row r="92" spans="1:45" outlineLevel="1" x14ac:dyDescent="0.55000000000000004">
      <c r="A92" s="9"/>
      <c r="B92" s="4"/>
      <c r="C92" s="4"/>
      <c r="D92" s="4"/>
      <c r="E92" s="4"/>
      <c r="F92" s="3"/>
      <c r="G92" s="3"/>
      <c r="H92" s="4"/>
      <c r="I92" s="4"/>
      <c r="J92" s="4"/>
      <c r="K92" s="4"/>
      <c r="L92" s="51"/>
      <c r="M92" s="51"/>
      <c r="N92" s="4"/>
      <c r="O92" s="4"/>
      <c r="P92" s="4"/>
      <c r="Q92" s="51"/>
      <c r="R92" s="51"/>
      <c r="S92" s="51"/>
      <c r="T92" s="4"/>
      <c r="U92" s="4"/>
      <c r="W92" s="51"/>
      <c r="X92" s="51"/>
      <c r="Y92" s="51"/>
      <c r="Z92" s="51"/>
      <c r="AA92" s="51"/>
      <c r="AB92" s="51"/>
      <c r="AC92" s="51"/>
      <c r="AD92" s="51"/>
      <c r="AE92" s="51"/>
      <c r="AF92" s="51"/>
      <c r="AG92" s="51"/>
      <c r="AH92" s="51"/>
      <c r="AI92" s="51"/>
      <c r="AJ92" s="57"/>
      <c r="AK92" s="51"/>
      <c r="AL92" s="51"/>
      <c r="AM92" s="51"/>
      <c r="AN92" s="70"/>
      <c r="AO92" s="70"/>
      <c r="AQ92" s="51"/>
      <c r="AR92" s="51"/>
      <c r="AS92" s="51"/>
    </row>
    <row r="93" spans="1:45" outlineLevel="1" x14ac:dyDescent="0.55000000000000004">
      <c r="A93" s="9"/>
      <c r="B93" s="24"/>
      <c r="C93" s="24"/>
      <c r="D93" s="25"/>
      <c r="E93" s="4"/>
      <c r="F93" s="26"/>
      <c r="G93" s="26"/>
      <c r="H93" s="26"/>
      <c r="I93" s="4"/>
      <c r="J93" s="80">
        <f>SUM(J71:J90)</f>
        <v>20</v>
      </c>
      <c r="K93" s="95">
        <f>SUM(K71:K90)</f>
        <v>1.0000000000000002</v>
      </c>
      <c r="L93" s="81">
        <f>SUM(L71:L90)</f>
        <v>15.028973846827309</v>
      </c>
      <c r="M93" s="81">
        <f>SUM(M71:M90)</f>
        <v>14.323222595290144</v>
      </c>
      <c r="N93" s="4"/>
      <c r="O93" s="80">
        <f>SUM(O71:O90)</f>
        <v>20</v>
      </c>
      <c r="P93" s="95">
        <f>SUM(P71:P90)</f>
        <v>1.0000000000000002</v>
      </c>
      <c r="Q93" s="81">
        <f>SUM(Q71:Q90)</f>
        <v>15.028973846827309</v>
      </c>
      <c r="R93" s="81">
        <f>SUM(R71:R90)</f>
        <v>14.323222595290144</v>
      </c>
      <c r="S93" s="52"/>
      <c r="T93" s="80">
        <f>SUM(T71:T90)</f>
        <v>1</v>
      </c>
      <c r="U93" s="95">
        <f>SUM(U71:U90)</f>
        <v>1</v>
      </c>
      <c r="W93" s="52">
        <f t="shared" ref="W93:AB93" si="67">SUM(W70:W90)</f>
        <v>-6855177.981072288</v>
      </c>
      <c r="X93" s="52">
        <f t="shared" si="67"/>
        <v>3623110.3670876105</v>
      </c>
      <c r="Y93" s="52">
        <f t="shared" si="67"/>
        <v>778649.36724928406</v>
      </c>
      <c r="Z93" s="52">
        <f t="shared" si="67"/>
        <v>-900000</v>
      </c>
      <c r="AA93" s="52">
        <f t="shared" ca="1" si="67"/>
        <v>0</v>
      </c>
      <c r="AB93" s="52">
        <f t="shared" ca="1" si="67"/>
        <v>-3353418.2467353931</v>
      </c>
      <c r="AC93" s="51"/>
      <c r="AD93" s="52">
        <f t="shared" ref="AD93:AI93" si="68">SUM(AD70:AD90)</f>
        <v>-6566328.1975766858</v>
      </c>
      <c r="AE93" s="52">
        <f t="shared" si="68"/>
        <v>3458735.3134128912</v>
      </c>
      <c r="AF93" s="52">
        <f t="shared" si="68"/>
        <v>745435.17282996722</v>
      </c>
      <c r="AG93" s="52">
        <f t="shared" si="68"/>
        <v>-900000</v>
      </c>
      <c r="AH93" s="52">
        <f t="shared" ca="1" si="68"/>
        <v>0</v>
      </c>
      <c r="AI93" s="52">
        <f t="shared" ca="1" si="68"/>
        <v>-3262157.711333828</v>
      </c>
      <c r="AJ93" s="52"/>
      <c r="AK93" s="52"/>
      <c r="AL93" s="52"/>
      <c r="AM93" s="51"/>
      <c r="AN93" s="70"/>
      <c r="AO93" s="70"/>
      <c r="AQ93" s="52"/>
      <c r="AR93" s="52"/>
      <c r="AS93" s="52"/>
    </row>
    <row r="94" spans="1:45" ht="15.3" x14ac:dyDescent="0.55000000000000004">
      <c r="A94" s="9"/>
      <c r="B94" s="24"/>
      <c r="C94" s="24"/>
      <c r="D94" s="4"/>
      <c r="E94" s="4"/>
      <c r="F94" s="4"/>
      <c r="G94" s="4"/>
      <c r="H94" s="4"/>
      <c r="I94" s="4"/>
      <c r="J94" s="24"/>
      <c r="K94" s="24"/>
      <c r="L94" s="52"/>
      <c r="M94" s="52"/>
      <c r="N94" s="4"/>
      <c r="O94" s="24"/>
      <c r="P94" s="24"/>
      <c r="Q94" s="52"/>
      <c r="R94" s="52"/>
      <c r="S94" s="51"/>
      <c r="W94" s="52"/>
      <c r="X94" s="72"/>
      <c r="Y94" s="72"/>
      <c r="Z94" s="52"/>
      <c r="AA94" s="52"/>
      <c r="AB94" s="52"/>
      <c r="AC94" s="51"/>
      <c r="AD94" s="52"/>
      <c r="AE94" s="73"/>
      <c r="AF94" s="73"/>
      <c r="AG94" s="52"/>
      <c r="AH94" s="52"/>
      <c r="AI94" s="52"/>
      <c r="AJ94" s="57"/>
      <c r="AK94" s="52"/>
      <c r="AL94" s="52"/>
      <c r="AM94" s="52"/>
      <c r="AN94" s="70"/>
      <c r="AO94" s="70"/>
    </row>
    <row r="95" spans="1:45" ht="15.3" x14ac:dyDescent="0.55000000000000004">
      <c r="A95" s="9"/>
      <c r="B95" s="24"/>
      <c r="C95" s="24"/>
      <c r="D95" s="4"/>
      <c r="E95" s="4"/>
      <c r="F95" s="4"/>
      <c r="G95" s="4"/>
      <c r="H95" s="4"/>
      <c r="I95" s="4"/>
      <c r="J95" s="24"/>
      <c r="K95" s="24"/>
      <c r="L95" s="52"/>
      <c r="M95" s="52"/>
      <c r="N95" s="4"/>
      <c r="O95" s="24"/>
      <c r="P95" s="24"/>
      <c r="Q95" s="52"/>
      <c r="R95" s="52"/>
      <c r="S95" s="51"/>
      <c r="W95" s="52"/>
      <c r="X95" s="72"/>
      <c r="Y95" s="72"/>
      <c r="Z95" s="52"/>
      <c r="AA95" s="52"/>
      <c r="AB95" s="52"/>
      <c r="AC95" s="51"/>
      <c r="AD95" s="52"/>
      <c r="AE95" s="73"/>
      <c r="AF95" s="73"/>
      <c r="AG95" s="52"/>
      <c r="AH95" s="52"/>
      <c r="AI95" s="52"/>
      <c r="AJ95" s="57"/>
      <c r="AK95" s="52"/>
      <c r="AL95" s="52"/>
      <c r="AM95" s="52"/>
      <c r="AN95" s="70"/>
      <c r="AO95" s="70"/>
    </row>
    <row r="96" spans="1:45" ht="18.3" x14ac:dyDescent="0.55000000000000004">
      <c r="A96" s="2"/>
      <c r="B96" s="144" t="s">
        <v>173</v>
      </c>
      <c r="C96" s="108"/>
      <c r="D96" s="109"/>
      <c r="H96" s="106"/>
      <c r="J96" s="2"/>
      <c r="K96" s="2"/>
      <c r="N96" s="2"/>
      <c r="O96" s="2"/>
      <c r="P96" s="2"/>
      <c r="Q96" s="2"/>
      <c r="S96" s="2"/>
      <c r="W96" s="55"/>
      <c r="X96" s="55"/>
      <c r="Y96" s="55"/>
      <c r="Z96" s="55"/>
      <c r="AA96" s="55"/>
      <c r="AB96" s="55"/>
      <c r="AC96" s="2"/>
      <c r="AD96" s="22"/>
      <c r="AE96" s="2"/>
      <c r="AF96" s="2"/>
      <c r="AG96" s="2"/>
      <c r="AH96" s="2"/>
      <c r="AI96" s="2"/>
      <c r="AJ96" s="21"/>
      <c r="AK96" s="2"/>
      <c r="AL96" s="2"/>
      <c r="AM96" s="2"/>
      <c r="AN96" s="70"/>
      <c r="AO96" s="70"/>
    </row>
    <row r="97" spans="1:45" outlineLevel="1" x14ac:dyDescent="0.55000000000000004">
      <c r="D97" s="2"/>
      <c r="E97" s="2"/>
      <c r="F97" s="2"/>
      <c r="G97" s="2"/>
      <c r="H97" s="2"/>
      <c r="I97" s="2"/>
      <c r="J97" s="2"/>
      <c r="K97" s="2"/>
      <c r="L97" s="2"/>
      <c r="M97" s="2"/>
      <c r="N97" s="2"/>
      <c r="O97" s="2"/>
      <c r="P97" s="2"/>
      <c r="Q97" s="2"/>
      <c r="R97" s="2"/>
      <c r="S97" s="2"/>
      <c r="W97" s="55"/>
      <c r="X97" s="55"/>
      <c r="Y97" s="55"/>
      <c r="Z97" s="55"/>
      <c r="AA97" s="114"/>
      <c r="AB97" s="115"/>
      <c r="AC97" s="2"/>
      <c r="AD97" s="2"/>
      <c r="AE97" s="2"/>
      <c r="AF97" s="2"/>
      <c r="AG97" s="2"/>
      <c r="AH97" s="2"/>
      <c r="AI97" s="2"/>
      <c r="AJ97" s="21"/>
      <c r="AK97" s="2"/>
      <c r="AL97" s="2"/>
      <c r="AM97" s="51"/>
      <c r="AN97" s="70"/>
      <c r="AO97" s="70"/>
    </row>
    <row r="98" spans="1:45" ht="19.899999999999999" customHeight="1" outlineLevel="1" x14ac:dyDescent="0.55000000000000004">
      <c r="B98" s="173" t="s">
        <v>68</v>
      </c>
      <c r="C98" s="173"/>
      <c r="D98" s="173"/>
      <c r="E98" s="2"/>
      <c r="F98" s="174" t="s">
        <v>129</v>
      </c>
      <c r="G98" s="174"/>
      <c r="H98" s="174"/>
      <c r="I98" s="2"/>
      <c r="J98" s="174" t="s">
        <v>70</v>
      </c>
      <c r="K98" s="174"/>
      <c r="L98" s="174"/>
      <c r="M98" s="174"/>
      <c r="N98" s="2"/>
      <c r="O98" s="174" t="s">
        <v>39</v>
      </c>
      <c r="P98" s="174"/>
      <c r="Q98" s="174"/>
      <c r="R98" s="174"/>
      <c r="S98" s="2"/>
      <c r="T98" s="170" t="s">
        <v>474</v>
      </c>
      <c r="U98" s="170"/>
      <c r="W98" s="172" t="s">
        <v>32</v>
      </c>
      <c r="X98" s="172"/>
      <c r="Y98" s="172"/>
      <c r="Z98" s="172"/>
      <c r="AA98" s="172"/>
      <c r="AB98" s="172"/>
      <c r="AC98" s="2"/>
      <c r="AD98" s="171" t="s">
        <v>33</v>
      </c>
      <c r="AE98" s="171"/>
      <c r="AF98" s="171"/>
      <c r="AG98" s="171"/>
      <c r="AH98" s="171"/>
      <c r="AI98" s="171"/>
      <c r="AJ98" s="21"/>
      <c r="AK98" s="171" t="s">
        <v>154</v>
      </c>
      <c r="AL98" s="171"/>
      <c r="AM98" s="51"/>
      <c r="AN98" s="172" t="s">
        <v>340</v>
      </c>
      <c r="AO98" s="172"/>
      <c r="AQ98" s="173" t="s">
        <v>147</v>
      </c>
      <c r="AR98" s="173"/>
      <c r="AS98" s="173"/>
    </row>
    <row r="99" spans="1:45" ht="30.6" customHeight="1" outlineLevel="1" x14ac:dyDescent="0.55000000000000004">
      <c r="B99" s="146" t="s">
        <v>149</v>
      </c>
      <c r="C99" s="146" t="s">
        <v>10</v>
      </c>
      <c r="D99" s="78" t="s">
        <v>126</v>
      </c>
      <c r="E99" s="13"/>
      <c r="F99" s="82" t="s">
        <v>129</v>
      </c>
      <c r="G99" s="82" t="s">
        <v>158</v>
      </c>
      <c r="H99" s="134" t="s">
        <v>2</v>
      </c>
      <c r="I99" s="2"/>
      <c r="J99" s="88" t="s">
        <v>127</v>
      </c>
      <c r="K99" s="88" t="s">
        <v>37</v>
      </c>
      <c r="L99" s="48" t="s">
        <v>131</v>
      </c>
      <c r="M99" s="134" t="s">
        <v>2</v>
      </c>
      <c r="N99" s="13"/>
      <c r="O99" s="91" t="s">
        <v>128</v>
      </c>
      <c r="P99" s="91" t="s">
        <v>37</v>
      </c>
      <c r="Q99" s="92" t="s">
        <v>132</v>
      </c>
      <c r="R99" s="134" t="s">
        <v>2</v>
      </c>
      <c r="S99" s="55"/>
      <c r="T99" s="91" t="s">
        <v>159</v>
      </c>
      <c r="U99" s="91" t="s">
        <v>37</v>
      </c>
      <c r="W99" s="53" t="s">
        <v>12</v>
      </c>
      <c r="X99" s="53" t="s">
        <v>35</v>
      </c>
      <c r="Y99" s="53" t="s">
        <v>36</v>
      </c>
      <c r="Z99" s="53" t="s">
        <v>42</v>
      </c>
      <c r="AA99" s="56" t="s">
        <v>121</v>
      </c>
      <c r="AB99" s="53" t="s">
        <v>1</v>
      </c>
      <c r="AC99" s="55"/>
      <c r="AD99" s="53" t="s">
        <v>12</v>
      </c>
      <c r="AE99" s="53" t="s">
        <v>35</v>
      </c>
      <c r="AF99" s="53" t="s">
        <v>36</v>
      </c>
      <c r="AG99" s="56" t="s">
        <v>42</v>
      </c>
      <c r="AH99" s="56" t="s">
        <v>121</v>
      </c>
      <c r="AI99" s="53" t="s">
        <v>1</v>
      </c>
      <c r="AJ99" s="57"/>
      <c r="AK99" s="58" t="s">
        <v>3</v>
      </c>
      <c r="AL99" s="58" t="s">
        <v>0</v>
      </c>
      <c r="AM99" s="51"/>
      <c r="AN99" s="76" t="s">
        <v>46</v>
      </c>
      <c r="AO99" s="76" t="s">
        <v>150</v>
      </c>
      <c r="AQ99" s="58" t="s">
        <v>3</v>
      </c>
      <c r="AR99" s="58" t="s">
        <v>0</v>
      </c>
      <c r="AS99" s="58" t="s">
        <v>12</v>
      </c>
    </row>
    <row r="100" spans="1:45" s="19" customFormat="1" outlineLevel="1" x14ac:dyDescent="0.55000000000000004">
      <c r="B100" s="15" t="s">
        <v>246</v>
      </c>
      <c r="C100" s="15" t="s">
        <v>247</v>
      </c>
      <c r="D100" s="16" t="s">
        <v>248</v>
      </c>
      <c r="E100" s="20"/>
      <c r="F100" s="83" t="s">
        <v>249</v>
      </c>
      <c r="G100" s="83" t="s">
        <v>250</v>
      </c>
      <c r="H100" s="18" t="s">
        <v>251</v>
      </c>
      <c r="I100" s="23"/>
      <c r="J100" s="18" t="s">
        <v>252</v>
      </c>
      <c r="K100" s="18" t="s">
        <v>253</v>
      </c>
      <c r="L100" s="18" t="s">
        <v>254</v>
      </c>
      <c r="M100" s="17" t="s">
        <v>255</v>
      </c>
      <c r="N100" s="20"/>
      <c r="O100" s="17" t="s">
        <v>256</v>
      </c>
      <c r="P100" s="17" t="s">
        <v>257</v>
      </c>
      <c r="Q100" s="17" t="s">
        <v>258</v>
      </c>
      <c r="R100" s="143" t="s">
        <v>259</v>
      </c>
      <c r="S100" s="61"/>
      <c r="T100" s="17" t="s">
        <v>260</v>
      </c>
      <c r="U100" s="17" t="s">
        <v>261</v>
      </c>
      <c r="W100" s="60" t="s">
        <v>262</v>
      </c>
      <c r="X100" s="60" t="s">
        <v>263</v>
      </c>
      <c r="Y100" s="60" t="s">
        <v>264</v>
      </c>
      <c r="Z100" s="60" t="s">
        <v>265</v>
      </c>
      <c r="AA100" s="60" t="s">
        <v>266</v>
      </c>
      <c r="AB100" s="60" t="s">
        <v>267</v>
      </c>
      <c r="AC100" s="61"/>
      <c r="AD100" s="60" t="s">
        <v>268</v>
      </c>
      <c r="AE100" s="60" t="s">
        <v>269</v>
      </c>
      <c r="AF100" s="60" t="s">
        <v>270</v>
      </c>
      <c r="AG100" s="60" t="s">
        <v>271</v>
      </c>
      <c r="AH100" s="60" t="s">
        <v>272</v>
      </c>
      <c r="AI100" s="60" t="s">
        <v>273</v>
      </c>
      <c r="AJ100" s="62"/>
      <c r="AK100" s="60" t="s">
        <v>274</v>
      </c>
      <c r="AL100" s="60" t="s">
        <v>275</v>
      </c>
      <c r="AN100" s="60" t="s">
        <v>307</v>
      </c>
      <c r="AO100" s="60" t="s">
        <v>308</v>
      </c>
      <c r="AQ100" s="60" t="s">
        <v>309</v>
      </c>
      <c r="AR100" s="60" t="s">
        <v>310</v>
      </c>
      <c r="AS100" s="60" t="s">
        <v>311</v>
      </c>
    </row>
    <row r="101" spans="1:45" outlineLevel="1" x14ac:dyDescent="0.55000000000000004">
      <c r="B101" s="1"/>
      <c r="C101" s="3">
        <v>0</v>
      </c>
      <c r="D101" s="87">
        <v>1</v>
      </c>
      <c r="E101" s="2"/>
      <c r="F101" s="84">
        <v>1</v>
      </c>
      <c r="G101" s="84"/>
      <c r="H101" s="5"/>
      <c r="I101" s="2"/>
      <c r="J101" s="2"/>
      <c r="K101" s="2"/>
      <c r="L101" s="55"/>
      <c r="M101" s="55"/>
      <c r="N101" s="2"/>
      <c r="O101" s="10"/>
      <c r="P101" s="10"/>
      <c r="Q101" s="49"/>
      <c r="R101" s="55"/>
      <c r="S101" s="55"/>
      <c r="T101" s="2"/>
      <c r="U101" s="2"/>
      <c r="W101" s="63">
        <f>IFERROR(IF(C101&gt;=$F$7*4,0,-IF($F$22="pattern",U102*$F$21,IF(AND($F$22="single",C101=0),$F$21,IF(AND($F$22="annual",MOD(C101,4)=0),$F$21/$F$7,IF(AND($F$22="semi-ann",MOD(C101,2)=0),$F$21/(2*$F$7),IF($F$22="quarterly",$F$21/(4*$F$7),0)))))*F101),0)</f>
        <v>-450000</v>
      </c>
      <c r="X101" s="63"/>
      <c r="Y101" s="63"/>
      <c r="Z101" s="63">
        <f>-$F$13*$F$21</f>
        <v>-900000</v>
      </c>
      <c r="AA101" s="63"/>
      <c r="AB101" s="64">
        <f t="shared" ref="AB101:AB121" si="69">SUM(W101:AA101)</f>
        <v>-1350000</v>
      </c>
      <c r="AC101" s="55"/>
      <c r="AD101" s="64">
        <f t="shared" ref="AD101:AD121" si="70">W101*$D101</f>
        <v>-450000</v>
      </c>
      <c r="AE101" s="64"/>
      <c r="AF101" s="64"/>
      <c r="AG101" s="64">
        <f t="shared" ref="AG101:AG121" si="71">Z101*$D101</f>
        <v>-900000</v>
      </c>
      <c r="AH101" s="64"/>
      <c r="AI101" s="64">
        <f t="shared" ref="AI101:AI121" si="72">SUM(AD101:AH101)</f>
        <v>-1350000</v>
      </c>
      <c r="AJ101" s="57"/>
      <c r="AK101" s="51">
        <f ca="1">SUM(AD101:AD$121,AG101:AG$121)/D101+SUM(AE102:AF$122,AH102:AH$121)/D101</f>
        <v>-3281747.2969520474</v>
      </c>
      <c r="AL101" s="51">
        <f>SUM(AE102:$AF$122)*$G$14/D101</f>
        <v>127459.77034597677</v>
      </c>
      <c r="AM101" s="51"/>
      <c r="AN101" s="51">
        <f ca="1">-SUM(AD101:$AD$122,AH101:$AH$122)/D101</f>
        <v>6630406.3084846064</v>
      </c>
      <c r="AO101" s="51">
        <f ca="1">-SUM(W101:$W$122,AA101:$AA$122)</f>
        <v>6855177.981072288</v>
      </c>
      <c r="AQ101" s="9">
        <f t="shared" ref="AQ101:AQ121" ca="1" si="73">AK101-AK70</f>
        <v>-19589.58561822027</v>
      </c>
      <c r="AR101" s="9">
        <f t="shared" ref="AR101:AR121" si="74">AL101-AL70</f>
        <v>1334.6557586910058</v>
      </c>
      <c r="AS101" s="9">
        <f t="shared" ref="AS101:AS121" ca="1" si="75">IF($F$27="yes",AN101-AN70,AO101-AO70)</f>
        <v>64078.110907920636</v>
      </c>
    </row>
    <row r="102" spans="1:45" outlineLevel="1" x14ac:dyDescent="0.55000000000000004">
      <c r="A102" s="9"/>
      <c r="B102" s="1" t="s">
        <v>6</v>
      </c>
      <c r="C102" s="3">
        <v>1</v>
      </c>
      <c r="D102" s="87">
        <f>D101/(1+IF(C102&lt;$F$8,$F$17,$G$17))^(1/4)</f>
        <v>0.99506157747984325</v>
      </c>
      <c r="E102" s="4"/>
      <c r="F102" s="112">
        <f t="shared" ref="F102:F113" si="76">(1-IF(C102&lt;$F$8,$F$19,$G$19))^(C102/4)</f>
        <v>0.94574160900317583</v>
      </c>
      <c r="G102" s="84">
        <f>AVERAGE(F101:F102)</f>
        <v>0.97287080450158792</v>
      </c>
      <c r="H102" s="154">
        <f>F102*D102</f>
        <v>0.94107113734302528</v>
      </c>
      <c r="I102" s="4"/>
      <c r="J102" s="116">
        <f t="shared" ref="J102:J121" si="77">J71</f>
        <v>1</v>
      </c>
      <c r="K102" s="156">
        <f>J102/$J$93</f>
        <v>0.05</v>
      </c>
      <c r="L102" s="155">
        <f>J102*G102</f>
        <v>0.97287080450158792</v>
      </c>
      <c r="M102" s="155">
        <f>L102*D102</f>
        <v>0.96806635741143421</v>
      </c>
      <c r="N102" s="4"/>
      <c r="O102" s="116">
        <f t="shared" ref="O102:O121" si="78">O71</f>
        <v>1</v>
      </c>
      <c r="P102" s="94">
        <f>O102/$O$93</f>
        <v>0.05</v>
      </c>
      <c r="Q102" s="155">
        <f>O102*G102</f>
        <v>0.97287080450158792</v>
      </c>
      <c r="R102" s="155">
        <f>Q102*D102</f>
        <v>0.96806635741143421</v>
      </c>
      <c r="S102" s="51"/>
      <c r="T102" s="139">
        <f t="shared" ref="T102:T121" si="79">T71</f>
        <v>0.20282873599525819</v>
      </c>
      <c r="U102" s="136">
        <f>T102/$T$124</f>
        <v>0.20282873599525819</v>
      </c>
      <c r="W102" s="63">
        <f t="shared" ref="W102:W121" si="80">IFERROR(IF(C102&gt;=$F$7*4,0,-IF($F$22="pattern",U103*$F$21,IF(AND($F$22="single",C102=0),$F$21,IF(AND($F$22="annual",MOD(C102,4)=0),$F$21/$F$7,IF(AND($F$22="semi-ann",MOD(C102,2)=0),$F$21/(2*$F$7),IF($F$22="quarterly",$F$21/(4*$F$7),0)))))*F102),0)</f>
        <v>-425583.72405142913</v>
      </c>
      <c r="X102" s="63">
        <f>$F$21*IF(C102&lt;$F$8,$F$11,$G$11)*P102*((1+$F$18)^(MIN($F$8-1,C102)/4))*((1+$G$18)^(MAX(0,C102-$F$8+1)/4))*F102</f>
        <v>255986.22997766148</v>
      </c>
      <c r="Y102" s="63">
        <f>$F$21*IF(C102&lt;$F$8,$F$12,$G$12)*IF($F$28="risk",P102*F102,IF($F$28="policies IF",F102/($F$7*4),1/($F$7*4)))</f>
        <v>63837.558607714374</v>
      </c>
      <c r="Z102" s="63">
        <v>0</v>
      </c>
      <c r="AA102" s="63">
        <f t="shared" ref="AA102:AA121" ca="1" si="81">IF($F$25="no",0,1)*(F102-F101)*OFFSET(W102,-IF($F$22="single",C102,IF($F$22="annual",MOD(C102,4),IF($F$22="semi-ann",MOD(C102,2),0))),0)*IF($F$22="single",($F$7*4-C102)/($F$7*4),IF(AND($F$22="annual",MOD(C102,4)&lt;&gt;0),(4-MOD(C102,4))/4,IF(AND($F$22="semi-ann",MOD(C102,2)&lt;&gt;0),0.5,0)))</f>
        <v>0</v>
      </c>
      <c r="AB102" s="64">
        <f t="shared" ca="1" si="69"/>
        <v>-105759.93546605328</v>
      </c>
      <c r="AC102" s="51"/>
      <c r="AD102" s="51">
        <f t="shared" si="70"/>
        <v>-423482.01180436136</v>
      </c>
      <c r="AE102" s="64">
        <f t="shared" ref="AE102:AE121" si="82">X102*$D102</f>
        <v>254722.06181468978</v>
      </c>
      <c r="AF102" s="64">
        <f t="shared" ref="AF102:AF121" si="83">Y102*$D102</f>
        <v>63522.301770654209</v>
      </c>
      <c r="AG102" s="51">
        <f t="shared" si="71"/>
        <v>0</v>
      </c>
      <c r="AH102" s="64">
        <f t="shared" ref="AH102:AH121" ca="1" si="84">AA102*$D102</f>
        <v>0</v>
      </c>
      <c r="AI102" s="64">
        <f t="shared" ca="1" si="72"/>
        <v>-105237.64821901737</v>
      </c>
      <c r="AJ102" s="57"/>
      <c r="AK102" s="51">
        <f ca="1">SUM(AD102:AD$121,AG102:AG$121)/D102+SUM(AE103:AF$122,AH103:AH$121)/D102</f>
        <v>-2261158.2151889163</v>
      </c>
      <c r="AL102" s="51">
        <f>SUM(AE103:$AF$122)*$G$14/D102</f>
        <v>118497.63080697888</v>
      </c>
      <c r="AM102" s="51"/>
      <c r="AN102" s="51">
        <f ca="1">-SUM(AD102:$AD$122,AH102:$AH$122)/D102</f>
        <v>6211079.2420882126</v>
      </c>
      <c r="AO102" s="51">
        <f ca="1">-SUM(W102:$W$122,AA102:$AA$122)</f>
        <v>6405177.981072288</v>
      </c>
      <c r="AQ102" s="9">
        <f t="shared" ca="1" si="73"/>
        <v>-19686.807391188107</v>
      </c>
      <c r="AR102" s="9">
        <f t="shared" si="74"/>
        <v>1341.279563895223</v>
      </c>
      <c r="AS102" s="9">
        <f t="shared" ca="1" si="75"/>
        <v>64396.126187696122</v>
      </c>
    </row>
    <row r="103" spans="1:45" outlineLevel="1" x14ac:dyDescent="0.55000000000000004">
      <c r="A103" s="9"/>
      <c r="B103" s="1" t="s">
        <v>7</v>
      </c>
      <c r="C103" s="3">
        <v>2</v>
      </c>
      <c r="D103" s="87">
        <f t="shared" ref="D103:D121" si="85">D102/(1+IF(C103&lt;$F$8,$F$17,$G$17))^(1/4)</f>
        <v>0.99014754297667418</v>
      </c>
      <c r="E103" s="4"/>
      <c r="F103" s="112">
        <f t="shared" si="76"/>
        <v>0.89442719099991586</v>
      </c>
      <c r="G103" s="84">
        <f t="shared" ref="G103:G113" si="86">AVERAGE(F102:F103)</f>
        <v>0.92008440000154579</v>
      </c>
      <c r="H103" s="154">
        <f t="shared" ref="H103:H113" si="87">F103*D103</f>
        <v>0.88561488554009515</v>
      </c>
      <c r="I103" s="4"/>
      <c r="J103" s="116">
        <f t="shared" si="77"/>
        <v>1</v>
      </c>
      <c r="K103" s="156">
        <f t="shared" ref="K103:K113" si="88">J103/$J$93</f>
        <v>0.05</v>
      </c>
      <c r="L103" s="155">
        <f t="shared" ref="L103:L113" si="89">J103*G103</f>
        <v>0.92008440000154579</v>
      </c>
      <c r="M103" s="155">
        <f t="shared" ref="M103:M113" si="90">L103*D103</f>
        <v>0.91101930799269804</v>
      </c>
      <c r="N103" s="4"/>
      <c r="O103" s="116">
        <f t="shared" si="78"/>
        <v>1</v>
      </c>
      <c r="P103" s="94">
        <f t="shared" ref="P103:P113" si="91">O103/$O$93</f>
        <v>0.05</v>
      </c>
      <c r="Q103" s="155">
        <f t="shared" ref="Q103:Q113" si="92">O103*G103</f>
        <v>0.92008440000154579</v>
      </c>
      <c r="R103" s="155">
        <f t="shared" ref="R103:R113" si="93">Q103*D103</f>
        <v>0.91101930799269804</v>
      </c>
      <c r="S103" s="51"/>
      <c r="T103" s="139">
        <f t="shared" si="79"/>
        <v>0.17818906429460918</v>
      </c>
      <c r="U103" s="136">
        <f t="shared" ref="U103:U121" si="94">T103/$T$124</f>
        <v>0.17818906429460918</v>
      </c>
      <c r="W103" s="63">
        <f t="shared" si="80"/>
        <v>-402492.23594996211</v>
      </c>
      <c r="X103" s="63">
        <f t="shared" ref="X103:X121" si="95">$F$21*IF(C103&lt;$F$8,$F$11,$G$11)*P103*((1+$F$18)^(MIN($F$8-1,C103)/4))*((1+$G$18)^(MAX(0,C103-$F$8+1)/4))*F103</f>
        <v>242699.81458583768</v>
      </c>
      <c r="Y103" s="63">
        <f t="shared" ref="Y103:Y121" si="96">$F$21*IF(C103&lt;$F$8,$F$12,$G$12)*IF($F$28="risk",P103*F103,IF($F$28="policies IF",F103/($F$7*4),1/($F$7*4)))</f>
        <v>60373.835392494322</v>
      </c>
      <c r="Z103" s="63">
        <v>0</v>
      </c>
      <c r="AA103" s="63">
        <f t="shared" ca="1" si="81"/>
        <v>0</v>
      </c>
      <c r="AB103" s="64">
        <f t="shared" ca="1" si="69"/>
        <v>-99418.585971630106</v>
      </c>
      <c r="AC103" s="51"/>
      <c r="AD103" s="51">
        <f t="shared" si="70"/>
        <v>-398526.69849304279</v>
      </c>
      <c r="AE103" s="64">
        <f t="shared" si="82"/>
        <v>240308.62509306156</v>
      </c>
      <c r="AF103" s="64">
        <f t="shared" si="83"/>
        <v>59779.004773956425</v>
      </c>
      <c r="AG103" s="51">
        <f t="shared" si="71"/>
        <v>0</v>
      </c>
      <c r="AH103" s="64">
        <f t="shared" ca="1" si="84"/>
        <v>0</v>
      </c>
      <c r="AI103" s="64">
        <f t="shared" ca="1" si="72"/>
        <v>-98439.068626024789</v>
      </c>
      <c r="AJ103" s="57"/>
      <c r="AK103" s="51">
        <f ca="1">SUM(AD103:AD$121,AG103:AG$121)/D103+SUM(AE104:AF$122,AH104:AH$121)/D103</f>
        <v>-2147757.9717128542</v>
      </c>
      <c r="AL103" s="51">
        <f>SUM(AE104:$AF$122)*$G$14/D103</f>
        <v>109993.51694091072</v>
      </c>
      <c r="AM103" s="51"/>
      <c r="AN103" s="51">
        <f ca="1">-SUM(AD103:$AD$122,AH103:$AH$122)/D103</f>
        <v>5814208.5364098782</v>
      </c>
      <c r="AO103" s="51">
        <f ca="1">-SUM(W103:$W$122,AA103:$AA$122)</f>
        <v>5979594.257020859</v>
      </c>
      <c r="AQ103" s="9">
        <f t="shared" ca="1" si="73"/>
        <v>-19784.511669168249</v>
      </c>
      <c r="AR103" s="9">
        <f t="shared" si="74"/>
        <v>1347.936242591386</v>
      </c>
      <c r="AS103" s="9">
        <f t="shared" ca="1" si="75"/>
        <v>64715.719755547121</v>
      </c>
    </row>
    <row r="104" spans="1:45" outlineLevel="1" x14ac:dyDescent="0.55000000000000004">
      <c r="A104" s="9"/>
      <c r="B104" s="1" t="s">
        <v>8</v>
      </c>
      <c r="C104" s="3">
        <v>3</v>
      </c>
      <c r="D104" s="87">
        <f t="shared" si="85"/>
        <v>0.98525777605216036</v>
      </c>
      <c r="E104" s="4"/>
      <c r="F104" s="112">
        <f t="shared" si="76"/>
        <v>0.84589701075245127</v>
      </c>
      <c r="G104" s="84">
        <f t="shared" si="86"/>
        <v>0.87016210087618351</v>
      </c>
      <c r="H104" s="154">
        <f t="shared" si="87"/>
        <v>0.83342660758313047</v>
      </c>
      <c r="I104" s="4"/>
      <c r="J104" s="116">
        <f t="shared" si="77"/>
        <v>1</v>
      </c>
      <c r="K104" s="156">
        <f t="shared" si="88"/>
        <v>0.05</v>
      </c>
      <c r="L104" s="155">
        <f t="shared" si="89"/>
        <v>0.87016210087618351</v>
      </c>
      <c r="M104" s="155">
        <f t="shared" si="90"/>
        <v>0.85733397631414421</v>
      </c>
      <c r="N104" s="4"/>
      <c r="O104" s="116">
        <f t="shared" si="78"/>
        <v>1</v>
      </c>
      <c r="P104" s="94">
        <f t="shared" si="91"/>
        <v>0.05</v>
      </c>
      <c r="Q104" s="155">
        <f t="shared" si="92"/>
        <v>0.87016210087618351</v>
      </c>
      <c r="R104" s="155">
        <f t="shared" si="93"/>
        <v>0.85733397631414421</v>
      </c>
      <c r="S104" s="51"/>
      <c r="T104" s="139">
        <f t="shared" si="79"/>
        <v>0.20194032380116383</v>
      </c>
      <c r="U104" s="136">
        <f t="shared" si="94"/>
        <v>0.20194032380116383</v>
      </c>
      <c r="W104" s="63">
        <f t="shared" si="80"/>
        <v>-380653.65483860305</v>
      </c>
      <c r="X104" s="63">
        <f t="shared" si="95"/>
        <v>230103.00204483719</v>
      </c>
      <c r="Y104" s="63">
        <f t="shared" si="96"/>
        <v>57098.048225790466</v>
      </c>
      <c r="Z104" s="63">
        <v>0</v>
      </c>
      <c r="AA104" s="63">
        <f t="shared" ca="1" si="81"/>
        <v>0</v>
      </c>
      <c r="AB104" s="64">
        <f t="shared" ca="1" si="69"/>
        <v>-93452.604567975388</v>
      </c>
      <c r="AC104" s="51"/>
      <c r="AD104" s="51">
        <f t="shared" si="70"/>
        <v>-375041.97341240873</v>
      </c>
      <c r="AE104" s="64">
        <f t="shared" si="82"/>
        <v>226710.772057622</v>
      </c>
      <c r="AF104" s="64">
        <f t="shared" si="83"/>
        <v>56256.296011861312</v>
      </c>
      <c r="AG104" s="51">
        <f t="shared" si="71"/>
        <v>0</v>
      </c>
      <c r="AH104" s="64">
        <f t="shared" ca="1" si="84"/>
        <v>0</v>
      </c>
      <c r="AI104" s="64">
        <f t="shared" ca="1" si="72"/>
        <v>-92074.905342925413</v>
      </c>
      <c r="AJ104" s="57"/>
      <c r="AK104" s="51">
        <f ca="1">SUM(AD104:AD$121,AG104:AG$121)/D104+SUM(AE105:AF$122,AH105:AH$121)/D104</f>
        <v>-2041128.4204571685</v>
      </c>
      <c r="AL104" s="51">
        <f>SUM(AE105:$AF$122)*$G$14/D104</f>
        <v>101923.37573086566</v>
      </c>
      <c r="AM104" s="51"/>
      <c r="AN104" s="51">
        <f ca="1">-SUM(AD104:$AD$122,AH104:$AH$122)/D104</f>
        <v>5438574.2781526912</v>
      </c>
      <c r="AO104" s="51">
        <f ca="1">-SUM(W104:$W$122,AA104:$AA$122)</f>
        <v>5577102.0210708966</v>
      </c>
      <c r="AQ104" s="9">
        <f t="shared" ca="1" si="73"/>
        <v>-19882.700846791267</v>
      </c>
      <c r="AR104" s="9">
        <f t="shared" si="74"/>
        <v>1354.6259579283942</v>
      </c>
      <c r="AS104" s="9">
        <f t="shared" ca="1" si="75"/>
        <v>65036.899444404989</v>
      </c>
    </row>
    <row r="105" spans="1:45" outlineLevel="1" x14ac:dyDescent="0.55000000000000004">
      <c r="A105" s="9"/>
      <c r="B105" s="1" t="s">
        <v>9</v>
      </c>
      <c r="C105" s="3">
        <v>4</v>
      </c>
      <c r="D105" s="87">
        <f t="shared" si="85"/>
        <v>0.98039215686274483</v>
      </c>
      <c r="E105" s="4"/>
      <c r="F105" s="112">
        <f t="shared" si="76"/>
        <v>0.8</v>
      </c>
      <c r="G105" s="84">
        <f t="shared" si="86"/>
        <v>0.82294850537622566</v>
      </c>
      <c r="H105" s="154">
        <f t="shared" si="87"/>
        <v>0.78431372549019596</v>
      </c>
      <c r="I105" s="4"/>
      <c r="J105" s="116">
        <f t="shared" si="77"/>
        <v>1</v>
      </c>
      <c r="K105" s="156">
        <f t="shared" si="88"/>
        <v>0.05</v>
      </c>
      <c r="L105" s="155">
        <f t="shared" si="89"/>
        <v>0.82294850537622566</v>
      </c>
      <c r="M105" s="155">
        <f t="shared" si="90"/>
        <v>0.80681226017277008</v>
      </c>
      <c r="N105" s="4"/>
      <c r="O105" s="116">
        <f t="shared" si="78"/>
        <v>1</v>
      </c>
      <c r="P105" s="94">
        <f t="shared" si="91"/>
        <v>0.05</v>
      </c>
      <c r="Q105" s="155">
        <f t="shared" si="92"/>
        <v>0.82294850537622566</v>
      </c>
      <c r="R105" s="155">
        <f t="shared" si="93"/>
        <v>0.80681226017277008</v>
      </c>
      <c r="S105" s="51"/>
      <c r="T105" s="139">
        <f t="shared" si="79"/>
        <v>0.20709640104961757</v>
      </c>
      <c r="U105" s="136">
        <f t="shared" si="94"/>
        <v>0.20709640104961757</v>
      </c>
      <c r="W105" s="63">
        <f t="shared" si="80"/>
        <v>-360000</v>
      </c>
      <c r="X105" s="63">
        <f t="shared" si="95"/>
        <v>218160</v>
      </c>
      <c r="Y105" s="63">
        <f t="shared" si="96"/>
        <v>54000.000000000007</v>
      </c>
      <c r="Z105" s="63">
        <v>0</v>
      </c>
      <c r="AA105" s="63">
        <f t="shared" ca="1" si="81"/>
        <v>0</v>
      </c>
      <c r="AB105" s="64">
        <f t="shared" ca="1" si="69"/>
        <v>-87840</v>
      </c>
      <c r="AC105" s="51"/>
      <c r="AD105" s="51">
        <f t="shared" si="70"/>
        <v>-352941.17647058814</v>
      </c>
      <c r="AE105" s="64">
        <f t="shared" si="82"/>
        <v>213882.35294117642</v>
      </c>
      <c r="AF105" s="64">
        <f t="shared" si="83"/>
        <v>52941.176470588231</v>
      </c>
      <c r="AG105" s="51">
        <f t="shared" si="71"/>
        <v>0</v>
      </c>
      <c r="AH105" s="64">
        <f t="shared" ca="1" si="84"/>
        <v>0</v>
      </c>
      <c r="AI105" s="64">
        <f t="shared" ca="1" si="72"/>
        <v>-86117.647058823495</v>
      </c>
      <c r="AJ105" s="57"/>
      <c r="AK105" s="51">
        <f ca="1">SUM(AD105:AD$121,AG105:AG$121)/D105+SUM(AE106:AF$122,AH106:AH$121)/D105</f>
        <v>-1940875.5882593608</v>
      </c>
      <c r="AL105" s="51">
        <f>SUM(AE106:$AF$122)*$G$14/D105</f>
        <v>94264.414470327931</v>
      </c>
      <c r="AM105" s="51"/>
      <c r="AN105" s="51">
        <f ca="1">-SUM(AD105:$AD$122,AH105:$AH$122)/D105</f>
        <v>5083022.7372702919</v>
      </c>
      <c r="AO105" s="51">
        <f ca="1">-SUM(W105:$W$122,AA105:$AA$122)</f>
        <v>5196448.3662322937</v>
      </c>
      <c r="AQ105" s="9">
        <f t="shared" ca="1" si="73"/>
        <v>-19981.377330583986</v>
      </c>
      <c r="AR105" s="9">
        <f t="shared" si="74"/>
        <v>1361.3488738649321</v>
      </c>
      <c r="AS105" s="9">
        <f t="shared" ca="1" si="75"/>
        <v>65359.673126081936</v>
      </c>
    </row>
    <row r="106" spans="1:45" outlineLevel="1" x14ac:dyDescent="0.55000000000000004">
      <c r="A106" s="9"/>
      <c r="B106" s="1" t="s">
        <v>16</v>
      </c>
      <c r="C106" s="3">
        <v>5</v>
      </c>
      <c r="D106" s="87">
        <f t="shared" si="85"/>
        <v>0.97555056615670888</v>
      </c>
      <c r="E106" s="4"/>
      <c r="F106" s="112">
        <f t="shared" si="76"/>
        <v>0.75659328720254071</v>
      </c>
      <c r="G106" s="84">
        <f t="shared" si="86"/>
        <v>0.77829664360127038</v>
      </c>
      <c r="H106" s="154">
        <f t="shared" si="87"/>
        <v>0.73809500968080399</v>
      </c>
      <c r="I106" s="4"/>
      <c r="J106" s="116">
        <f t="shared" si="77"/>
        <v>1</v>
      </c>
      <c r="K106" s="156">
        <f t="shared" si="88"/>
        <v>0.05</v>
      </c>
      <c r="L106" s="155">
        <f t="shared" si="89"/>
        <v>0.77829664360127038</v>
      </c>
      <c r="M106" s="155">
        <f t="shared" si="90"/>
        <v>0.75926773130308556</v>
      </c>
      <c r="N106" s="4"/>
      <c r="O106" s="116">
        <f t="shared" si="78"/>
        <v>1</v>
      </c>
      <c r="P106" s="94">
        <f t="shared" si="91"/>
        <v>0.05</v>
      </c>
      <c r="Q106" s="155">
        <f t="shared" si="92"/>
        <v>0.77829664360127038</v>
      </c>
      <c r="R106" s="155">
        <f t="shared" si="93"/>
        <v>0.75926773130308556</v>
      </c>
      <c r="S106" s="51"/>
      <c r="T106" s="139">
        <f t="shared" si="79"/>
        <v>8.3175297485096111E-2</v>
      </c>
      <c r="U106" s="136">
        <f t="shared" si="94"/>
        <v>8.3175297485096111E-2</v>
      </c>
      <c r="W106" s="63">
        <f t="shared" si="80"/>
        <v>-340466.97924114333</v>
      </c>
      <c r="X106" s="63">
        <f t="shared" si="95"/>
        <v>206836.87382195049</v>
      </c>
      <c r="Y106" s="63">
        <f t="shared" si="96"/>
        <v>51070.046886171498</v>
      </c>
      <c r="Z106" s="63">
        <v>0</v>
      </c>
      <c r="AA106" s="63">
        <f t="shared" ca="1" si="81"/>
        <v>0</v>
      </c>
      <c r="AB106" s="64">
        <f t="shared" ca="1" si="69"/>
        <v>-82560.058533021336</v>
      </c>
      <c r="AC106" s="51"/>
      <c r="AD106" s="51">
        <f t="shared" si="70"/>
        <v>-332142.75435636181</v>
      </c>
      <c r="AE106" s="64">
        <f t="shared" si="82"/>
        <v>201779.82935908757</v>
      </c>
      <c r="AF106" s="64">
        <f t="shared" si="83"/>
        <v>49821.413153454276</v>
      </c>
      <c r="AG106" s="51">
        <f t="shared" si="71"/>
        <v>0</v>
      </c>
      <c r="AH106" s="64">
        <f t="shared" ca="1" si="84"/>
        <v>0</v>
      </c>
      <c r="AI106" s="64">
        <f t="shared" ca="1" si="72"/>
        <v>-80541.511843819957</v>
      </c>
      <c r="AJ106" s="57"/>
      <c r="AK106" s="51">
        <f ca="1">SUM(AD106:AD$121,AG106:AG$121)/D106+SUM(AE107:AF$122,AH107:AH$121)/D106</f>
        <v>-1846628.2863377631</v>
      </c>
      <c r="AL106" s="51">
        <f>SUM(AE107:$AF$122)*$G$14/D106</f>
        <v>86995.034687888634</v>
      </c>
      <c r="AM106" s="51"/>
      <c r="AN106" s="51">
        <f ca="1">-SUM(AD106:$AD$122,AH106:$AH$122)/D106</f>
        <v>4746462.7759340508</v>
      </c>
      <c r="AO106" s="51">
        <f ca="1">-SUM(W106:$W$122,AA106:$AA$122)</f>
        <v>4836448.3662322937</v>
      </c>
      <c r="AQ106" s="9">
        <f t="shared" ca="1" si="73"/>
        <v>-20080.543539013714</v>
      </c>
      <c r="AR106" s="9">
        <f t="shared" si="74"/>
        <v>1368.1051551732089</v>
      </c>
      <c r="AS106" s="9">
        <f t="shared" ca="1" si="75"/>
        <v>65684.048711453564</v>
      </c>
    </row>
    <row r="107" spans="1:45" outlineLevel="1" x14ac:dyDescent="0.55000000000000004">
      <c r="A107" s="9"/>
      <c r="B107" s="1" t="s">
        <v>17</v>
      </c>
      <c r="C107" s="3">
        <v>6</v>
      </c>
      <c r="D107" s="87">
        <f t="shared" si="85"/>
        <v>0.9707328852712489</v>
      </c>
      <c r="E107" s="4"/>
      <c r="F107" s="112">
        <f t="shared" si="76"/>
        <v>0.71554175279993271</v>
      </c>
      <c r="G107" s="84">
        <f t="shared" si="86"/>
        <v>0.73606752000123676</v>
      </c>
      <c r="H107" s="154">
        <f t="shared" si="87"/>
        <v>0.69459991022752543</v>
      </c>
      <c r="I107" s="4"/>
      <c r="J107" s="116">
        <f t="shared" si="77"/>
        <v>1</v>
      </c>
      <c r="K107" s="156">
        <f t="shared" si="88"/>
        <v>0.05</v>
      </c>
      <c r="L107" s="155">
        <f t="shared" si="89"/>
        <v>0.73606752000123676</v>
      </c>
      <c r="M107" s="155">
        <f t="shared" si="90"/>
        <v>0.7145249474452533</v>
      </c>
      <c r="N107" s="4"/>
      <c r="O107" s="116">
        <f t="shared" si="78"/>
        <v>1</v>
      </c>
      <c r="P107" s="94">
        <f t="shared" si="91"/>
        <v>0.05</v>
      </c>
      <c r="Q107" s="155">
        <f t="shared" si="92"/>
        <v>0.73606752000123676</v>
      </c>
      <c r="R107" s="155">
        <f t="shared" si="93"/>
        <v>0.7145249474452533</v>
      </c>
      <c r="S107" s="51"/>
      <c r="T107" s="139">
        <f t="shared" si="79"/>
        <v>5.1890782453176132E-2</v>
      </c>
      <c r="U107" s="136">
        <f t="shared" si="94"/>
        <v>5.1890782453176132E-2</v>
      </c>
      <c r="W107" s="63">
        <f t="shared" si="80"/>
        <v>-321993.7887599697</v>
      </c>
      <c r="X107" s="63">
        <f t="shared" si="95"/>
        <v>196101.45018535687</v>
      </c>
      <c r="Y107" s="63">
        <f t="shared" si="96"/>
        <v>48299.068313995464</v>
      </c>
      <c r="Z107" s="63">
        <v>0</v>
      </c>
      <c r="AA107" s="63">
        <f t="shared" ca="1" si="81"/>
        <v>0</v>
      </c>
      <c r="AB107" s="64">
        <f t="shared" ca="1" si="69"/>
        <v>-77593.27026061737</v>
      </c>
      <c r="AC107" s="51"/>
      <c r="AD107" s="51">
        <f t="shared" si="70"/>
        <v>-312569.9596023864</v>
      </c>
      <c r="AE107" s="64">
        <f t="shared" si="82"/>
        <v>190362.12654430757</v>
      </c>
      <c r="AF107" s="64">
        <f t="shared" si="83"/>
        <v>46885.49394035797</v>
      </c>
      <c r="AG107" s="51">
        <f t="shared" si="71"/>
        <v>0</v>
      </c>
      <c r="AH107" s="64">
        <f t="shared" ca="1" si="84"/>
        <v>0</v>
      </c>
      <c r="AI107" s="64">
        <f t="shared" ca="1" si="72"/>
        <v>-75322.339117720869</v>
      </c>
      <c r="AJ107" s="57"/>
      <c r="AK107" s="51">
        <f ca="1">SUM(AD107:AD$121,AG107:AG$121)/D107+SUM(AE108:AF$122,AH108:AH$121)/D107</f>
        <v>-1758036.8011013009</v>
      </c>
      <c r="AL107" s="51">
        <f>SUM(AE108:$AF$122)*$G$14/D107</f>
        <v>80094.769537272557</v>
      </c>
      <c r="AM107" s="51"/>
      <c r="AN107" s="51">
        <f ca="1">-SUM(AD107:$AD$122,AH107:$AH$122)/D107</f>
        <v>4427862.4523437191</v>
      </c>
      <c r="AO107" s="51">
        <f ca="1">-SUM(W107:$W$122,AA107:$AA$122)</f>
        <v>4495981.3869911507</v>
      </c>
      <c r="AQ107" s="9">
        <f t="shared" ca="1" si="73"/>
        <v>-20180.201902551576</v>
      </c>
      <c r="AR107" s="9">
        <f t="shared" si="74"/>
        <v>1374.8949674432952</v>
      </c>
      <c r="AS107" s="9">
        <f t="shared" ca="1" si="75"/>
        <v>66010.034150660969</v>
      </c>
    </row>
    <row r="108" spans="1:45" outlineLevel="1" x14ac:dyDescent="0.55000000000000004">
      <c r="A108" s="9"/>
      <c r="B108" s="1" t="s">
        <v>18</v>
      </c>
      <c r="C108" s="3">
        <v>7</v>
      </c>
      <c r="D108" s="87">
        <f t="shared" si="85"/>
        <v>0.96832110791813664</v>
      </c>
      <c r="E108" s="4"/>
      <c r="F108" s="112">
        <f t="shared" si="76"/>
        <v>0.83161897782507621</v>
      </c>
      <c r="G108" s="84">
        <f t="shared" si="86"/>
        <v>0.7735803653125044</v>
      </c>
      <c r="H108" s="154">
        <f t="shared" si="87"/>
        <v>0.8052742099733261</v>
      </c>
      <c r="I108" s="4"/>
      <c r="J108" s="116">
        <f t="shared" si="77"/>
        <v>1</v>
      </c>
      <c r="K108" s="156">
        <f t="shared" si="88"/>
        <v>0.05</v>
      </c>
      <c r="L108" s="155">
        <f t="shared" si="89"/>
        <v>0.7735803653125044</v>
      </c>
      <c r="M108" s="155">
        <f t="shared" si="90"/>
        <v>0.74907419640312112</v>
      </c>
      <c r="N108" s="4"/>
      <c r="O108" s="116">
        <f t="shared" si="78"/>
        <v>1</v>
      </c>
      <c r="P108" s="94">
        <f t="shared" si="91"/>
        <v>0.05</v>
      </c>
      <c r="Q108" s="155">
        <f t="shared" si="92"/>
        <v>0.7735803653125044</v>
      </c>
      <c r="R108" s="155">
        <f t="shared" si="93"/>
        <v>0.74907419640312112</v>
      </c>
      <c r="S108" s="51"/>
      <c r="T108" s="139">
        <f t="shared" si="79"/>
        <v>2.7830892374108518E-2</v>
      </c>
      <c r="U108" s="136">
        <f t="shared" si="94"/>
        <v>2.7830892374108518E-2</v>
      </c>
      <c r="W108" s="63">
        <f t="shared" si="80"/>
        <v>-374228.54002128431</v>
      </c>
      <c r="X108" s="63">
        <f t="shared" si="95"/>
        <v>190164.95533158066</v>
      </c>
      <c r="Y108" s="63">
        <f t="shared" si="96"/>
        <v>37422.854002128435</v>
      </c>
      <c r="Z108" s="63">
        <v>0</v>
      </c>
      <c r="AA108" s="63">
        <f t="shared" ca="1" si="81"/>
        <v>0</v>
      </c>
      <c r="AB108" s="64">
        <f t="shared" ca="1" si="69"/>
        <v>-146640.73068757521</v>
      </c>
      <c r="AC108" s="51"/>
      <c r="AD108" s="51">
        <f t="shared" si="70"/>
        <v>-362373.39448799676</v>
      </c>
      <c r="AE108" s="64">
        <f t="shared" si="82"/>
        <v>184140.74023387916</v>
      </c>
      <c r="AF108" s="64">
        <f t="shared" si="83"/>
        <v>36237.339448799677</v>
      </c>
      <c r="AG108" s="51">
        <f t="shared" si="71"/>
        <v>0</v>
      </c>
      <c r="AH108" s="64">
        <f t="shared" ca="1" si="84"/>
        <v>0</v>
      </c>
      <c r="AI108" s="64">
        <f t="shared" ca="1" si="72"/>
        <v>-141995.31480531793</v>
      </c>
      <c r="AJ108" s="57"/>
      <c r="AK108" s="51">
        <f ca="1">SUM(AD108:AD$121,AG108:AG$121)/D108+SUM(AE109:AF$122,AH109:AH$121)/D108</f>
        <v>-1667207.5443003532</v>
      </c>
      <c r="AL108" s="51">
        <f>SUM(AE109:$AF$122)*$G$14/D108</f>
        <v>73466.625642933068</v>
      </c>
      <c r="AM108" s="51"/>
      <c r="AN108" s="51">
        <f ca="1">-SUM(AD108:$AD$122,AH108:$AH$122)/D108</f>
        <v>4116095.065731456</v>
      </c>
      <c r="AO108" s="51">
        <f ca="1">-SUM(W108:$W$122,AA108:$AA$122)</f>
        <v>4173987.5982311806</v>
      </c>
      <c r="AQ108" s="9">
        <f t="shared" ca="1" si="73"/>
        <v>-16730.09428261267</v>
      </c>
      <c r="AR108" s="9">
        <f t="shared" si="74"/>
        <v>1183.7040021738212</v>
      </c>
      <c r="AS108" s="9">
        <f t="shared" ca="1" si="75"/>
        <v>56186.894355073571</v>
      </c>
    </row>
    <row r="109" spans="1:45" outlineLevel="1" x14ac:dyDescent="0.55000000000000004">
      <c r="A109" s="9"/>
      <c r="B109" s="1" t="s">
        <v>19</v>
      </c>
      <c r="C109" s="3">
        <v>8</v>
      </c>
      <c r="D109" s="87">
        <f t="shared" si="85"/>
        <v>0.96591532260473922</v>
      </c>
      <c r="E109" s="4"/>
      <c r="F109" s="112">
        <f t="shared" si="76"/>
        <v>0.81</v>
      </c>
      <c r="G109" s="84">
        <f t="shared" si="86"/>
        <v>0.82080948891253813</v>
      </c>
      <c r="H109" s="154">
        <f t="shared" si="87"/>
        <v>0.7823914113098388</v>
      </c>
      <c r="I109" s="4"/>
      <c r="J109" s="116">
        <f t="shared" si="77"/>
        <v>1</v>
      </c>
      <c r="K109" s="156">
        <f t="shared" si="88"/>
        <v>0.05</v>
      </c>
      <c r="L109" s="155">
        <f t="shared" si="89"/>
        <v>0.82080948891253813</v>
      </c>
      <c r="M109" s="155">
        <f t="shared" si="90"/>
        <v>0.79283246227998538</v>
      </c>
      <c r="N109" s="4"/>
      <c r="O109" s="116">
        <f t="shared" si="78"/>
        <v>1</v>
      </c>
      <c r="P109" s="94">
        <f t="shared" si="91"/>
        <v>0.05</v>
      </c>
      <c r="Q109" s="155">
        <f t="shared" si="92"/>
        <v>0.82080948891253813</v>
      </c>
      <c r="R109" s="155">
        <f t="shared" si="93"/>
        <v>0.79283246227998538</v>
      </c>
      <c r="S109" s="51"/>
      <c r="T109" s="139">
        <f t="shared" si="79"/>
        <v>1.5225286106495761E-2</v>
      </c>
      <c r="U109" s="136">
        <f t="shared" si="94"/>
        <v>1.5225286106495761E-2</v>
      </c>
      <c r="W109" s="63">
        <f t="shared" si="80"/>
        <v>-364500</v>
      </c>
      <c r="X109" s="63">
        <f t="shared" si="95"/>
        <v>185452.47280464222</v>
      </c>
      <c r="Y109" s="63">
        <f t="shared" si="96"/>
        <v>36450.000000000007</v>
      </c>
      <c r="Z109" s="63">
        <v>0</v>
      </c>
      <c r="AA109" s="63">
        <f t="shared" ca="1" si="81"/>
        <v>0</v>
      </c>
      <c r="AB109" s="64">
        <f t="shared" ca="1" si="69"/>
        <v>-142597.52719535778</v>
      </c>
      <c r="AC109" s="51"/>
      <c r="AD109" s="51">
        <f t="shared" si="70"/>
        <v>-352076.13508942747</v>
      </c>
      <c r="AE109" s="64">
        <f t="shared" si="82"/>
        <v>179131.38509694263</v>
      </c>
      <c r="AF109" s="64">
        <f t="shared" si="83"/>
        <v>35207.613508942755</v>
      </c>
      <c r="AG109" s="51">
        <f t="shared" si="71"/>
        <v>0</v>
      </c>
      <c r="AH109" s="64">
        <f t="shared" ca="1" si="84"/>
        <v>0</v>
      </c>
      <c r="AI109" s="64">
        <f t="shared" ca="1" si="72"/>
        <v>-137737.1364835421</v>
      </c>
      <c r="AJ109" s="57"/>
      <c r="AK109" s="51">
        <f ca="1">SUM(AD109:AD$121,AG109:AG$121)/D109+SUM(AE110:AF$122,AH110:AH$121)/D109</f>
        <v>-1518101.8731435202</v>
      </c>
      <c r="AL109" s="51">
        <f>SUM(AE110:$AF$122)*$G$14/D109</f>
        <v>66992.533263575635</v>
      </c>
      <c r="AM109" s="51"/>
      <c r="AN109" s="51">
        <f ca="1">-SUM(AD109:$AD$122,AH109:$AH$122)/D109</f>
        <v>3751186.3152627079</v>
      </c>
      <c r="AO109" s="51">
        <f ca="1">-SUM(W109:$W$122,AA109:$AA$122)</f>
        <v>3799759.0582098961</v>
      </c>
      <c r="AQ109" s="9">
        <f t="shared" ca="1" si="73"/>
        <v>-13616.554331733845</v>
      </c>
      <c r="AR109" s="9">
        <f t="shared" si="74"/>
        <v>1007.9506129413057</v>
      </c>
      <c r="AS109" s="9">
        <f t="shared" ca="1" si="75"/>
        <v>47214.908096443396</v>
      </c>
    </row>
    <row r="110" spans="1:45" outlineLevel="1" x14ac:dyDescent="0.55000000000000004">
      <c r="A110" s="9"/>
      <c r="B110" s="1" t="s">
        <v>20</v>
      </c>
      <c r="C110" s="3">
        <v>9</v>
      </c>
      <c r="D110" s="87">
        <f t="shared" si="85"/>
        <v>0.96351551444388639</v>
      </c>
      <c r="E110" s="4"/>
      <c r="F110" s="112">
        <f t="shared" si="76"/>
        <v>0.78894303460449045</v>
      </c>
      <c r="G110" s="84">
        <f t="shared" si="86"/>
        <v>0.7994715173022453</v>
      </c>
      <c r="H110" s="154">
        <f t="shared" si="87"/>
        <v>0.7601588538538665</v>
      </c>
      <c r="I110" s="4"/>
      <c r="J110" s="116">
        <f t="shared" si="77"/>
        <v>1</v>
      </c>
      <c r="K110" s="156">
        <f t="shared" si="88"/>
        <v>0.05</v>
      </c>
      <c r="L110" s="155">
        <f t="shared" si="89"/>
        <v>0.7994715173022453</v>
      </c>
      <c r="M110" s="155">
        <f t="shared" si="90"/>
        <v>0.77030321027670734</v>
      </c>
      <c r="N110" s="4"/>
      <c r="O110" s="116">
        <f t="shared" si="78"/>
        <v>1</v>
      </c>
      <c r="P110" s="94">
        <f t="shared" si="91"/>
        <v>0.05</v>
      </c>
      <c r="Q110" s="155">
        <f t="shared" si="92"/>
        <v>0.7994715173022453</v>
      </c>
      <c r="R110" s="155">
        <f t="shared" si="93"/>
        <v>0.77030321027670734</v>
      </c>
      <c r="S110" s="51"/>
      <c r="T110" s="139">
        <f t="shared" si="79"/>
        <v>1.3868361840445591E-2</v>
      </c>
      <c r="U110" s="136">
        <f t="shared" si="94"/>
        <v>1.3868361840445591E-2</v>
      </c>
      <c r="W110" s="63">
        <f t="shared" si="80"/>
        <v>-355024.3655720207</v>
      </c>
      <c r="X110" s="63">
        <f t="shared" si="95"/>
        <v>180856.77042538123</v>
      </c>
      <c r="Y110" s="63">
        <f t="shared" si="96"/>
        <v>35502.436557202076</v>
      </c>
      <c r="Z110" s="63">
        <v>0</v>
      </c>
      <c r="AA110" s="63">
        <f t="shared" ca="1" si="81"/>
        <v>0</v>
      </c>
      <c r="AB110" s="64">
        <f t="shared" ca="1" si="69"/>
        <v>-138665.1585894374</v>
      </c>
      <c r="AC110" s="51"/>
      <c r="AD110" s="51">
        <f t="shared" si="70"/>
        <v>-342071.48423423991</v>
      </c>
      <c r="AE110" s="64">
        <f t="shared" si="82"/>
        <v>174258.30419707106</v>
      </c>
      <c r="AF110" s="64">
        <f t="shared" si="83"/>
        <v>34207.148423423998</v>
      </c>
      <c r="AG110" s="51">
        <f t="shared" si="71"/>
        <v>0</v>
      </c>
      <c r="AH110" s="64">
        <f t="shared" ca="1" si="84"/>
        <v>0</v>
      </c>
      <c r="AI110" s="64">
        <f t="shared" ca="1" si="72"/>
        <v>-133606.03161374485</v>
      </c>
      <c r="AJ110" s="57"/>
      <c r="AK110" s="51">
        <f ca="1">SUM(AD110:AD$121,AG110:AG$121)/D110+SUM(AE111:AF$122,AH111:AH$121)/D110</f>
        <v>-1372834.3324485039</v>
      </c>
      <c r="AL110" s="51">
        <f>SUM(AE111:$AF$122)*$G$14/D110</f>
        <v>60668.613970911691</v>
      </c>
      <c r="AM110" s="51"/>
      <c r="AN110" s="51">
        <f ca="1">-SUM(AD110:$AD$122,AH110:$AH$122)/D110</f>
        <v>3395121.4648122271</v>
      </c>
      <c r="AO110" s="51">
        <f ca="1">-SUM(W110:$W$122,AA110:$AA$122)</f>
        <v>3435259.0582098961</v>
      </c>
      <c r="AQ110" s="9">
        <f t="shared" ca="1" si="73"/>
        <v>-10832.137522414094</v>
      </c>
      <c r="AR110" s="9">
        <f t="shared" si="74"/>
        <v>847.3305611733449</v>
      </c>
      <c r="AS110" s="9">
        <f t="shared" ca="1" si="75"/>
        <v>39076.489561525639</v>
      </c>
    </row>
    <row r="111" spans="1:45" outlineLevel="1" x14ac:dyDescent="0.55000000000000004">
      <c r="A111" s="9"/>
      <c r="B111" s="1" t="s">
        <v>21</v>
      </c>
      <c r="C111" s="3">
        <v>10</v>
      </c>
      <c r="D111" s="87">
        <f t="shared" si="85"/>
        <v>0.96112166858539494</v>
      </c>
      <c r="E111" s="4"/>
      <c r="F111" s="112">
        <f t="shared" si="76"/>
        <v>0.76843347142091623</v>
      </c>
      <c r="G111" s="84">
        <f t="shared" si="86"/>
        <v>0.77868825301270328</v>
      </c>
      <c r="H111" s="154">
        <f t="shared" si="87"/>
        <v>0.73855806024893844</v>
      </c>
      <c r="I111" s="4"/>
      <c r="J111" s="116">
        <f t="shared" si="77"/>
        <v>1</v>
      </c>
      <c r="K111" s="156">
        <f t="shared" si="88"/>
        <v>0.05</v>
      </c>
      <c r="L111" s="155">
        <f t="shared" si="89"/>
        <v>0.77868825301270328</v>
      </c>
      <c r="M111" s="155">
        <f t="shared" si="90"/>
        <v>0.74841415304341552</v>
      </c>
      <c r="N111" s="4"/>
      <c r="O111" s="116">
        <f t="shared" si="78"/>
        <v>1</v>
      </c>
      <c r="P111" s="94">
        <f t="shared" si="91"/>
        <v>0.05</v>
      </c>
      <c r="Q111" s="155">
        <f t="shared" si="92"/>
        <v>0.77868825301270328</v>
      </c>
      <c r="R111" s="155">
        <f t="shared" si="93"/>
        <v>0.74841415304341552</v>
      </c>
      <c r="S111" s="51"/>
      <c r="T111" s="139">
        <f t="shared" si="79"/>
        <v>5.0809898881113407E-3</v>
      </c>
      <c r="U111" s="136">
        <f t="shared" si="94"/>
        <v>5.0809898881113407E-3</v>
      </c>
      <c r="W111" s="63">
        <f t="shared" si="80"/>
        <v>-345795.06213941233</v>
      </c>
      <c r="X111" s="63">
        <f t="shared" si="95"/>
        <v>176374.95426202953</v>
      </c>
      <c r="Y111" s="63">
        <f t="shared" si="96"/>
        <v>34579.506213941233</v>
      </c>
      <c r="Z111" s="63">
        <v>0</v>
      </c>
      <c r="AA111" s="63">
        <f t="shared" ca="1" si="81"/>
        <v>0</v>
      </c>
      <c r="AB111" s="64">
        <f t="shared" ca="1" si="69"/>
        <v>-134840.60166344157</v>
      </c>
      <c r="AC111" s="51"/>
      <c r="AD111" s="51">
        <f t="shared" si="70"/>
        <v>-332351.12711202231</v>
      </c>
      <c r="AE111" s="64">
        <f t="shared" si="82"/>
        <v>169517.79033699454</v>
      </c>
      <c r="AF111" s="64">
        <f t="shared" si="83"/>
        <v>33235.11271120223</v>
      </c>
      <c r="AG111" s="51">
        <f t="shared" si="71"/>
        <v>0</v>
      </c>
      <c r="AH111" s="64">
        <f t="shared" ca="1" si="84"/>
        <v>0</v>
      </c>
      <c r="AI111" s="64">
        <f t="shared" ca="1" si="72"/>
        <v>-129598.22406382553</v>
      </c>
      <c r="AJ111" s="57"/>
      <c r="AK111" s="51">
        <f ca="1">SUM(AD111:AD$121,AG111:AG$121)/D111+SUM(AE112:AF$122,AH112:AH$121)/D111</f>
        <v>-1231299.4655828634</v>
      </c>
      <c r="AL111" s="51">
        <f>SUM(AE112:$AF$122)*$G$14/D111</f>
        <v>54491.086218478456</v>
      </c>
      <c r="AM111" s="51"/>
      <c r="AN111" s="51">
        <f ca="1">-SUM(AD111:$AD$122,AH111:$AH$122)/D111</f>
        <v>3047669.0061988118</v>
      </c>
      <c r="AO111" s="51">
        <f ca="1">-SUM(W111:$W$122,AA111:$AA$122)</f>
        <v>3080234.6926378752</v>
      </c>
      <c r="AQ111" s="9">
        <f t="shared" ca="1" si="73"/>
        <v>-8369.613690006081</v>
      </c>
      <c r="AR111" s="9">
        <f t="shared" si="74"/>
        <v>701.54768683545262</v>
      </c>
      <c r="AS111" s="9">
        <f t="shared" ca="1" si="75"/>
        <v>31754.536584521178</v>
      </c>
    </row>
    <row r="112" spans="1:45" outlineLevel="1" x14ac:dyDescent="0.55000000000000004">
      <c r="A112" s="9"/>
      <c r="B112" s="1" t="s">
        <v>22</v>
      </c>
      <c r="C112" s="3">
        <v>11</v>
      </c>
      <c r="D112" s="87">
        <f t="shared" si="85"/>
        <v>0.95873377021597694</v>
      </c>
      <c r="E112" s="4"/>
      <c r="F112" s="112">
        <f t="shared" si="76"/>
        <v>0.74845708004256861</v>
      </c>
      <c r="G112" s="84">
        <f t="shared" si="86"/>
        <v>0.75844527573174236</v>
      </c>
      <c r="H112" s="154">
        <f t="shared" si="87"/>
        <v>0.71757107819405308</v>
      </c>
      <c r="I112" s="4"/>
      <c r="J112" s="116">
        <f t="shared" si="77"/>
        <v>1</v>
      </c>
      <c r="K112" s="156">
        <f t="shared" si="88"/>
        <v>0.05</v>
      </c>
      <c r="L112" s="155">
        <f t="shared" si="89"/>
        <v>0.75844527573174236</v>
      </c>
      <c r="M112" s="155">
        <f t="shared" si="90"/>
        <v>0.72714709870478955</v>
      </c>
      <c r="N112" s="4"/>
      <c r="O112" s="116">
        <f t="shared" si="78"/>
        <v>1</v>
      </c>
      <c r="P112" s="94">
        <f t="shared" si="91"/>
        <v>0.05</v>
      </c>
      <c r="Q112" s="155">
        <f t="shared" si="92"/>
        <v>0.75844527573174236</v>
      </c>
      <c r="R112" s="155">
        <f t="shared" si="93"/>
        <v>0.72714709870478955</v>
      </c>
      <c r="S112" s="51"/>
      <c r="T112" s="139">
        <f t="shared" si="79"/>
        <v>6.0769058883075608E-3</v>
      </c>
      <c r="U112" s="136">
        <f t="shared" si="94"/>
        <v>6.0769058883075608E-3</v>
      </c>
      <c r="W112" s="63">
        <f t="shared" si="80"/>
        <v>-336805.6860191559</v>
      </c>
      <c r="X112" s="63">
        <f t="shared" si="95"/>
        <v>172004.20209741473</v>
      </c>
      <c r="Y112" s="63">
        <f t="shared" si="96"/>
        <v>33680.568601915591</v>
      </c>
      <c r="Z112" s="63">
        <v>0</v>
      </c>
      <c r="AA112" s="63">
        <f t="shared" ca="1" si="81"/>
        <v>0</v>
      </c>
      <c r="AB112" s="64">
        <f t="shared" ca="1" si="69"/>
        <v>-131120.91531982558</v>
      </c>
      <c r="AC112" s="51"/>
      <c r="AD112" s="51">
        <f t="shared" si="70"/>
        <v>-322906.98518732388</v>
      </c>
      <c r="AE112" s="64">
        <f t="shared" si="82"/>
        <v>164906.23716984526</v>
      </c>
      <c r="AF112" s="64">
        <f t="shared" si="83"/>
        <v>32290.698518732392</v>
      </c>
      <c r="AG112" s="51">
        <f t="shared" si="71"/>
        <v>0</v>
      </c>
      <c r="AH112" s="64">
        <f t="shared" ca="1" si="84"/>
        <v>0</v>
      </c>
      <c r="AI112" s="64">
        <f t="shared" ca="1" si="72"/>
        <v>-125710.04949874623</v>
      </c>
      <c r="AJ112" s="57"/>
      <c r="AK112" s="51">
        <f ca="1">SUM(AD112:AD$121,AG112:AG$121)/D112+SUM(AE113:AF$122,AH113:AH$121)/D112</f>
        <v>-1093394.681643178</v>
      </c>
      <c r="AL112" s="51">
        <f>SUM(AE113:$AF$122)*$G$14/D112</f>
        <v>48456.262918757791</v>
      </c>
      <c r="AM112" s="51"/>
      <c r="AN112" s="51">
        <f ca="1">-SUM(AD112:$AD$122,AH112:$AH$122)/D112</f>
        <v>2708603.4456017711</v>
      </c>
      <c r="AO112" s="51">
        <f ca="1">-SUM(W112:$W$122,AA112:$AA$122)</f>
        <v>2734439.6304984628</v>
      </c>
      <c r="AQ112" s="9">
        <f t="shared" ca="1" si="73"/>
        <v>-6221.9612483798992</v>
      </c>
      <c r="AR112" s="9">
        <f t="shared" si="74"/>
        <v>570.31370900794718</v>
      </c>
      <c r="AS112" s="9">
        <f t="shared" ca="1" si="75"/>
        <v>25232.418215311598</v>
      </c>
    </row>
    <row r="113" spans="1:45" outlineLevel="1" x14ac:dyDescent="0.55000000000000004">
      <c r="A113" s="9"/>
      <c r="B113" s="1" t="s">
        <v>23</v>
      </c>
      <c r="C113" s="3">
        <v>12</v>
      </c>
      <c r="D113" s="87">
        <f t="shared" si="85"/>
        <v>0.95635180455914781</v>
      </c>
      <c r="E113" s="4"/>
      <c r="F113" s="112">
        <f t="shared" si="76"/>
        <v>0.72900000000000009</v>
      </c>
      <c r="G113" s="84">
        <f t="shared" si="86"/>
        <v>0.73872854002128441</v>
      </c>
      <c r="H113" s="154">
        <f t="shared" si="87"/>
        <v>0.6971804655236189</v>
      </c>
      <c r="I113" s="4"/>
      <c r="J113" s="116">
        <f t="shared" si="77"/>
        <v>1</v>
      </c>
      <c r="K113" s="156">
        <f t="shared" si="88"/>
        <v>0.05</v>
      </c>
      <c r="L113" s="155">
        <f t="shared" si="89"/>
        <v>0.73872854002128441</v>
      </c>
      <c r="M113" s="155">
        <f t="shared" si="90"/>
        <v>0.70648437232869998</v>
      </c>
      <c r="N113" s="4"/>
      <c r="O113" s="116">
        <f t="shared" si="78"/>
        <v>1</v>
      </c>
      <c r="P113" s="94">
        <f t="shared" si="91"/>
        <v>0.05</v>
      </c>
      <c r="Q113" s="155">
        <f t="shared" si="92"/>
        <v>0.73872854002128441</v>
      </c>
      <c r="R113" s="155">
        <f t="shared" si="93"/>
        <v>0.70648437232869998</v>
      </c>
      <c r="S113" s="51"/>
      <c r="T113" s="139">
        <f t="shared" si="79"/>
        <v>6.7969588236102014E-3</v>
      </c>
      <c r="U113" s="136">
        <f t="shared" si="94"/>
        <v>6.7969588236102014E-3</v>
      </c>
      <c r="W113" s="63">
        <f t="shared" si="80"/>
        <v>-328050.00000000006</v>
      </c>
      <c r="X113" s="63">
        <f t="shared" si="95"/>
        <v>167741.76165179888</v>
      </c>
      <c r="Y113" s="63">
        <f t="shared" si="96"/>
        <v>32805</v>
      </c>
      <c r="Z113" s="63">
        <v>0</v>
      </c>
      <c r="AA113" s="63">
        <f t="shared" ca="1" si="81"/>
        <v>0</v>
      </c>
      <c r="AB113" s="64">
        <f t="shared" ca="1" si="69"/>
        <v>-127503.23834820118</v>
      </c>
      <c r="AC113" s="51"/>
      <c r="AD113" s="51">
        <f t="shared" si="70"/>
        <v>-313731.20948562847</v>
      </c>
      <c r="AE113" s="64">
        <f t="shared" si="82"/>
        <v>160420.13645562832</v>
      </c>
      <c r="AF113" s="64">
        <f t="shared" si="83"/>
        <v>31373.120948562842</v>
      </c>
      <c r="AG113" s="51">
        <f t="shared" si="71"/>
        <v>0</v>
      </c>
      <c r="AH113" s="64">
        <f t="shared" ca="1" si="84"/>
        <v>0</v>
      </c>
      <c r="AI113" s="64">
        <f t="shared" ca="1" si="72"/>
        <v>-121937.95208143731</v>
      </c>
      <c r="AJ113" s="57"/>
      <c r="AK113" s="51">
        <f ca="1">SUM(AD113:AD$121,AG113:AG$121)/D113+SUM(AE114:AF$122,AH114:AH$121)/D113</f>
        <v>-959020.17783666449</v>
      </c>
      <c r="AL113" s="51">
        <f>SUM(AE114:$AF$122)*$G$14/D113</f>
        <v>42560.549080904886</v>
      </c>
      <c r="AM113" s="51"/>
      <c r="AN113" s="51">
        <f ca="1">-SUM(AD113:$AD$122,AH113:$AH$122)/D113</f>
        <v>2377705.1472001607</v>
      </c>
      <c r="AO113" s="51">
        <f ca="1">-SUM(W113:$W$122,AA113:$AA$122)</f>
        <v>2397633.9444793072</v>
      </c>
      <c r="AQ113" s="9">
        <f t="shared" ca="1" si="73"/>
        <v>-4382.3615628299303</v>
      </c>
      <c r="AR113" s="9">
        <f t="shared" si="74"/>
        <v>453.34803146311606</v>
      </c>
      <c r="AS113" s="9">
        <f t="shared" ca="1" si="75"/>
        <v>19493.962611600291</v>
      </c>
    </row>
    <row r="114" spans="1:45" outlineLevel="1" x14ac:dyDescent="0.55000000000000004">
      <c r="A114" s="9"/>
      <c r="B114" s="1" t="s">
        <v>24</v>
      </c>
      <c r="C114" s="3">
        <v>13</v>
      </c>
      <c r="D114" s="87">
        <f t="shared" si="85"/>
        <v>0.95397575687513503</v>
      </c>
      <c r="E114" s="4"/>
      <c r="F114" s="112">
        <f t="shared" ref="F114:F121" si="97">(1-IF(C114&lt;$F$8,$F$19,$G$19))^(C114/4)</f>
        <v>0.71004873114404132</v>
      </c>
      <c r="G114" s="84">
        <f t="shared" ref="G114:G121" si="98">AVERAGE(F113:F114)</f>
        <v>0.71952436557202071</v>
      </c>
      <c r="H114" s="154">
        <f t="shared" ref="H114:H121" si="99">F114*D114</f>
        <v>0.67736927571136607</v>
      </c>
      <c r="I114" s="4"/>
      <c r="J114" s="116">
        <f t="shared" si="77"/>
        <v>1</v>
      </c>
      <c r="K114" s="156">
        <f t="shared" ref="K114:K121" si="100">J114/$J$93</f>
        <v>0.05</v>
      </c>
      <c r="L114" s="155">
        <f t="shared" ref="L114:L121" si="101">J114*G114</f>
        <v>0.71952436557202071</v>
      </c>
      <c r="M114" s="155">
        <f t="shared" ref="M114:M121" si="102">L114*D114</f>
        <v>0.68640880123666981</v>
      </c>
      <c r="N114" s="4"/>
      <c r="O114" s="116">
        <f t="shared" si="78"/>
        <v>1</v>
      </c>
      <c r="P114" s="94">
        <f t="shared" ref="P114:P121" si="103">O114/$O$93</f>
        <v>0.05</v>
      </c>
      <c r="Q114" s="155">
        <f t="shared" ref="Q114:Q121" si="104">O114*G114</f>
        <v>0.71952436557202071</v>
      </c>
      <c r="R114" s="155">
        <f t="shared" ref="R114:R121" si="105">Q114*D114</f>
        <v>0.68640880123666981</v>
      </c>
      <c r="S114" s="51"/>
      <c r="T114" s="139">
        <f t="shared" si="79"/>
        <v>0</v>
      </c>
      <c r="U114" s="136">
        <f t="shared" si="94"/>
        <v>0</v>
      </c>
      <c r="W114" s="63">
        <f t="shared" si="80"/>
        <v>-319521.92901481857</v>
      </c>
      <c r="X114" s="63">
        <f t="shared" si="95"/>
        <v>163584.94884975729</v>
      </c>
      <c r="Y114" s="63">
        <f t="shared" si="96"/>
        <v>31952.19290148186</v>
      </c>
      <c r="Z114" s="63">
        <v>0</v>
      </c>
      <c r="AA114" s="63">
        <f t="shared" ca="1" si="81"/>
        <v>0</v>
      </c>
      <c r="AB114" s="64">
        <f t="shared" ca="1" si="69"/>
        <v>-123984.78726357942</v>
      </c>
      <c r="AC114" s="51"/>
      <c r="AD114" s="51">
        <f t="shared" si="70"/>
        <v>-304816.17407011474</v>
      </c>
      <c r="AE114" s="64">
        <f t="shared" si="82"/>
        <v>156056.07539232745</v>
      </c>
      <c r="AF114" s="64">
        <f t="shared" si="83"/>
        <v>30481.617407011472</v>
      </c>
      <c r="AG114" s="51">
        <f t="shared" si="71"/>
        <v>0</v>
      </c>
      <c r="AH114" s="64">
        <f t="shared" ca="1" si="84"/>
        <v>0</v>
      </c>
      <c r="AI114" s="64">
        <f t="shared" ca="1" si="72"/>
        <v>-118278.48127077581</v>
      </c>
      <c r="AJ114" s="57"/>
      <c r="AK114" s="51">
        <f ca="1">SUM(AD114:AD$121,AG114:AG$121)/D114+SUM(AE115:AF$122,AH115:AH$121)/D114</f>
        <v>-828078.86395779555</v>
      </c>
      <c r="AL114" s="51">
        <f>SUM(AE115:$AF$122)*$G$14/D114</f>
        <v>36800.439507569659</v>
      </c>
      <c r="AM114" s="51"/>
      <c r="AN114" s="51">
        <f ca="1">-SUM(AD114:$AD$122,AH114:$AH$122)/D114</f>
        <v>2054760.1808767843</v>
      </c>
      <c r="AO114" s="51">
        <f ca="1">-SUM(W114:$W$122,AA114:$AA$122)</f>
        <v>2069583.9444793072</v>
      </c>
      <c r="AQ114" s="9">
        <f t="shared" ca="1" si="73"/>
        <v>-2844.1934759514406</v>
      </c>
      <c r="AR114" s="9">
        <f t="shared" si="74"/>
        <v>350.37755311754881</v>
      </c>
      <c r="AS114" s="9">
        <f t="shared" ca="1" si="75"/>
        <v>14523.445246536518</v>
      </c>
    </row>
    <row r="115" spans="1:45" outlineLevel="1" x14ac:dyDescent="0.55000000000000004">
      <c r="A115" s="9"/>
      <c r="B115" s="1" t="s">
        <v>25</v>
      </c>
      <c r="C115" s="3">
        <v>14</v>
      </c>
      <c r="D115" s="87">
        <f t="shared" si="85"/>
        <v>0.95160561246078712</v>
      </c>
      <c r="E115" s="4"/>
      <c r="F115" s="112">
        <f t="shared" si="97"/>
        <v>0.6915901242788246</v>
      </c>
      <c r="G115" s="84">
        <f t="shared" si="98"/>
        <v>0.70081942771143302</v>
      </c>
      <c r="H115" s="154">
        <f t="shared" si="99"/>
        <v>0.65812104378618275</v>
      </c>
      <c r="I115" s="4"/>
      <c r="J115" s="116">
        <f t="shared" si="77"/>
        <v>1</v>
      </c>
      <c r="K115" s="156">
        <f t="shared" si="100"/>
        <v>0.05</v>
      </c>
      <c r="L115" s="155">
        <f t="shared" si="101"/>
        <v>0.70081942771143302</v>
      </c>
      <c r="M115" s="155">
        <f t="shared" si="102"/>
        <v>0.66690370073175653</v>
      </c>
      <c r="N115" s="4"/>
      <c r="O115" s="116">
        <f t="shared" si="78"/>
        <v>1</v>
      </c>
      <c r="P115" s="94">
        <f t="shared" si="103"/>
        <v>0.05</v>
      </c>
      <c r="Q115" s="155">
        <f t="shared" si="104"/>
        <v>0.70081942771143302</v>
      </c>
      <c r="R115" s="155">
        <f t="shared" si="105"/>
        <v>0.66690370073175653</v>
      </c>
      <c r="S115" s="51"/>
      <c r="T115" s="139">
        <f t="shared" si="79"/>
        <v>0</v>
      </c>
      <c r="U115" s="136">
        <f t="shared" si="94"/>
        <v>0</v>
      </c>
      <c r="W115" s="63">
        <f t="shared" si="80"/>
        <v>-311215.55592547107</v>
      </c>
      <c r="X115" s="63">
        <f t="shared" si="95"/>
        <v>159531.14613000565</v>
      </c>
      <c r="Y115" s="63">
        <f t="shared" si="96"/>
        <v>31121.555592547105</v>
      </c>
      <c r="Z115" s="63">
        <v>0</v>
      </c>
      <c r="AA115" s="63">
        <f t="shared" ca="1" si="81"/>
        <v>0</v>
      </c>
      <c r="AB115" s="64">
        <f t="shared" ca="1" si="69"/>
        <v>-120562.8542029183</v>
      </c>
      <c r="AC115" s="51"/>
      <c r="AD115" s="51">
        <f t="shared" si="70"/>
        <v>-296154.46970378223</v>
      </c>
      <c r="AE115" s="64">
        <f t="shared" si="82"/>
        <v>151810.73401961537</v>
      </c>
      <c r="AF115" s="64">
        <f t="shared" si="83"/>
        <v>29615.446970378223</v>
      </c>
      <c r="AG115" s="51">
        <f t="shared" si="71"/>
        <v>0</v>
      </c>
      <c r="AH115" s="64">
        <f t="shared" ca="1" si="84"/>
        <v>0</v>
      </c>
      <c r="AI115" s="64">
        <f t="shared" ca="1" si="72"/>
        <v>-114728.28871378864</v>
      </c>
      <c r="AJ115" s="57"/>
      <c r="AK115" s="51">
        <f ca="1">SUM(AD115:AD$121,AG115:AG$121)/D115+SUM(AE116:AF$122,AH116:AH$121)/D115</f>
        <v>-700476.28890354652</v>
      </c>
      <c r="AL115" s="51">
        <f>SUM(AE116:$AF$122)*$G$14/D115</f>
        <v>31172.516549332508</v>
      </c>
      <c r="AM115" s="51"/>
      <c r="AN115" s="51">
        <f ca="1">-SUM(AD115:$AD$122,AH115:$AH$122)/D115</f>
        <v>1739560.1738812968</v>
      </c>
      <c r="AO115" s="51">
        <f ca="1">-SUM(W115:$W$122,AA115:$AA$122)</f>
        <v>1750062.0154644884</v>
      </c>
      <c r="AQ115" s="9">
        <f t="shared" ca="1" si="73"/>
        <v>-1601.0279823698802</v>
      </c>
      <c r="AR115" s="9">
        <f t="shared" si="74"/>
        <v>261.13648323799498</v>
      </c>
      <c r="AS115" s="9">
        <f t="shared" ca="1" si="75"/>
        <v>10305.577423636336</v>
      </c>
    </row>
    <row r="116" spans="1:45" outlineLevel="1" x14ac:dyDescent="0.55000000000000004">
      <c r="A116" s="9"/>
      <c r="B116" s="1" t="s">
        <v>26</v>
      </c>
      <c r="C116" s="3">
        <v>15</v>
      </c>
      <c r="D116" s="87">
        <f t="shared" si="85"/>
        <v>0.94924135664948217</v>
      </c>
      <c r="E116" s="4"/>
      <c r="F116" s="112">
        <f t="shared" si="97"/>
        <v>0.67361137203831178</v>
      </c>
      <c r="G116" s="84">
        <f t="shared" si="98"/>
        <v>0.68260074815856819</v>
      </c>
      <c r="H116" s="154">
        <f t="shared" si="99"/>
        <v>0.63941977264816618</v>
      </c>
      <c r="I116" s="4"/>
      <c r="J116" s="116">
        <f t="shared" si="77"/>
        <v>1</v>
      </c>
      <c r="K116" s="156">
        <f t="shared" si="100"/>
        <v>0.05</v>
      </c>
      <c r="L116" s="155">
        <f t="shared" si="101"/>
        <v>0.68260074815856819</v>
      </c>
      <c r="M116" s="155">
        <f t="shared" si="102"/>
        <v>0.64795286023199083</v>
      </c>
      <c r="N116" s="4"/>
      <c r="O116" s="116">
        <f t="shared" si="78"/>
        <v>1</v>
      </c>
      <c r="P116" s="94">
        <f t="shared" si="103"/>
        <v>0.05</v>
      </c>
      <c r="Q116" s="155">
        <f t="shared" si="104"/>
        <v>0.68260074815856819</v>
      </c>
      <c r="R116" s="155">
        <f t="shared" si="105"/>
        <v>0.64795286023199083</v>
      </c>
      <c r="S116" s="51"/>
      <c r="T116" s="139">
        <f t="shared" si="79"/>
        <v>0</v>
      </c>
      <c r="U116" s="136">
        <f t="shared" si="94"/>
        <v>0</v>
      </c>
      <c r="W116" s="63">
        <f t="shared" si="80"/>
        <v>-303125.11741724028</v>
      </c>
      <c r="X116" s="63">
        <f t="shared" si="95"/>
        <v>155577.80079711159</v>
      </c>
      <c r="Y116" s="63">
        <f t="shared" si="96"/>
        <v>30312.511741724029</v>
      </c>
      <c r="Z116" s="63">
        <v>0</v>
      </c>
      <c r="AA116" s="63">
        <f t="shared" ca="1" si="81"/>
        <v>0</v>
      </c>
      <c r="AB116" s="64">
        <f t="shared" ca="1" si="69"/>
        <v>-117234.80487840467</v>
      </c>
      <c r="AC116" s="51"/>
      <c r="AD116" s="51">
        <f t="shared" si="70"/>
        <v>-287738.89769167476</v>
      </c>
      <c r="AE116" s="64">
        <f t="shared" si="82"/>
        <v>147680.8826931931</v>
      </c>
      <c r="AF116" s="64">
        <f t="shared" si="83"/>
        <v>28773.889769167476</v>
      </c>
      <c r="AG116" s="51">
        <f t="shared" si="71"/>
        <v>0</v>
      </c>
      <c r="AH116" s="64">
        <f t="shared" ca="1" si="84"/>
        <v>0</v>
      </c>
      <c r="AI116" s="64">
        <f t="shared" ca="1" si="72"/>
        <v>-111284.12522931419</v>
      </c>
      <c r="AJ116" s="57"/>
      <c r="AK116" s="51">
        <f ca="1">SUM(AD116:AD$121,AG116:AG$121)/D116+SUM(AE117:AF$122,AH117:AH$121)/D116</f>
        <v>-576120.56917241693</v>
      </c>
      <c r="AL116" s="51">
        <f>SUM(AE117:$AF$122)*$G$14/D116</f>
        <v>25673.447915312197</v>
      </c>
      <c r="AM116" s="51"/>
      <c r="AN116" s="51">
        <f ca="1">-SUM(AD116:$AD$122,AH116:$AH$122)/D116</f>
        <v>1431902.1663494902</v>
      </c>
      <c r="AO116" s="51">
        <f ca="1">-SUM(W116:$W$122,AA116:$AA$122)</f>
        <v>1438846.4595390172</v>
      </c>
      <c r="AQ116" s="9">
        <f t="shared" ca="1" si="73"/>
        <v>-646.62304829386994</v>
      </c>
      <c r="AR116" s="9">
        <f t="shared" si="74"/>
        <v>185.36616128142123</v>
      </c>
      <c r="AS116" s="9">
        <f t="shared" ca="1" si="75"/>
        <v>6825.4950910080224</v>
      </c>
    </row>
    <row r="117" spans="1:45" outlineLevel="1" x14ac:dyDescent="0.55000000000000004">
      <c r="A117" s="9"/>
      <c r="B117" s="1" t="s">
        <v>27</v>
      </c>
      <c r="C117" s="3">
        <v>16</v>
      </c>
      <c r="D117" s="87">
        <f t="shared" si="85"/>
        <v>0.94688297481103745</v>
      </c>
      <c r="E117" s="4"/>
      <c r="F117" s="112">
        <f t="shared" si="97"/>
        <v>0.65610000000000013</v>
      </c>
      <c r="G117" s="84">
        <f t="shared" si="98"/>
        <v>0.6648556860191559</v>
      </c>
      <c r="H117" s="154">
        <f t="shared" si="99"/>
        <v>0.62124991977352184</v>
      </c>
      <c r="I117" s="4"/>
      <c r="J117" s="116">
        <f t="shared" si="77"/>
        <v>1</v>
      </c>
      <c r="K117" s="156">
        <f t="shared" si="100"/>
        <v>0.05</v>
      </c>
      <c r="L117" s="155">
        <f t="shared" si="101"/>
        <v>0.6648556860191559</v>
      </c>
      <c r="M117" s="155">
        <f t="shared" si="102"/>
        <v>0.62954052979785147</v>
      </c>
      <c r="N117" s="4"/>
      <c r="O117" s="116">
        <f t="shared" si="78"/>
        <v>1</v>
      </c>
      <c r="P117" s="94">
        <f t="shared" si="103"/>
        <v>0.05</v>
      </c>
      <c r="Q117" s="155">
        <f t="shared" si="104"/>
        <v>0.6648556860191559</v>
      </c>
      <c r="R117" s="155">
        <f t="shared" si="105"/>
        <v>0.62954052979785147</v>
      </c>
      <c r="S117" s="51"/>
      <c r="T117" s="139">
        <f t="shared" si="79"/>
        <v>0</v>
      </c>
      <c r="U117" s="136">
        <f t="shared" si="94"/>
        <v>0</v>
      </c>
      <c r="W117" s="63">
        <f t="shared" si="80"/>
        <v>-295245.00000000006</v>
      </c>
      <c r="X117" s="63">
        <f t="shared" si="95"/>
        <v>151722.42341405209</v>
      </c>
      <c r="Y117" s="63">
        <f t="shared" si="96"/>
        <v>29524.500000000007</v>
      </c>
      <c r="Z117" s="63">
        <v>0</v>
      </c>
      <c r="AA117" s="63">
        <f t="shared" ca="1" si="81"/>
        <v>0</v>
      </c>
      <c r="AB117" s="64">
        <f t="shared" ca="1" si="69"/>
        <v>-113998.07658594797</v>
      </c>
      <c r="AC117" s="51"/>
      <c r="AD117" s="51">
        <f t="shared" si="70"/>
        <v>-279562.46389808482</v>
      </c>
      <c r="AE117" s="64">
        <f t="shared" si="82"/>
        <v>143663.37962783745</v>
      </c>
      <c r="AF117" s="64">
        <f t="shared" si="83"/>
        <v>27956.246389808482</v>
      </c>
      <c r="AG117" s="51">
        <f t="shared" si="71"/>
        <v>0</v>
      </c>
      <c r="AH117" s="64">
        <f t="shared" ca="1" si="84"/>
        <v>0</v>
      </c>
      <c r="AI117" s="64">
        <f t="shared" ca="1" si="72"/>
        <v>-107942.83788043889</v>
      </c>
      <c r="AJ117" s="57"/>
      <c r="AK117" s="51">
        <f ca="1">SUM(AD117:AD$121,AG117:AG$121)/D117+SUM(AE118:AF$122,AH118:AH$121)/D117</f>
        <v>-454922.31929381902</v>
      </c>
      <c r="AL117" s="51">
        <f>SUM(AE118:$AF$122)*$G$14/D117</f>
        <v>20299.984538540608</v>
      </c>
      <c r="AM117" s="51"/>
      <c r="AN117" s="51">
        <f ca="1">-SUM(AD117:$AD$122,AH117:$AH$122)/D117</f>
        <v>1131588.4705785059</v>
      </c>
      <c r="AO117" s="51">
        <f ca="1">-SUM(W117:$W$122,AA117:$AA$122)</f>
        <v>1135721.3421217771</v>
      </c>
      <c r="AQ117" s="9">
        <f t="shared" ca="1" si="73"/>
        <v>25.081428030505776</v>
      </c>
      <c r="AR117" s="9">
        <f t="shared" si="74"/>
        <v>122.81488125392207</v>
      </c>
      <c r="AS117" s="9">
        <f t="shared" ca="1" si="75"/>
        <v>4068.7479471000843</v>
      </c>
    </row>
    <row r="118" spans="1:45" outlineLevel="1" x14ac:dyDescent="0.55000000000000004">
      <c r="A118" s="9"/>
      <c r="B118" s="1" t="s">
        <v>28</v>
      </c>
      <c r="C118" s="3">
        <v>17</v>
      </c>
      <c r="D118" s="87">
        <f t="shared" si="85"/>
        <v>0.94453045235161892</v>
      </c>
      <c r="E118" s="4"/>
      <c r="F118" s="112">
        <f t="shared" si="97"/>
        <v>0.63904385802963726</v>
      </c>
      <c r="G118" s="84">
        <f t="shared" si="98"/>
        <v>0.64757192901481875</v>
      </c>
      <c r="H118" s="154">
        <f t="shared" si="99"/>
        <v>0.60359638429725704</v>
      </c>
      <c r="I118" s="4"/>
      <c r="J118" s="116">
        <f t="shared" si="77"/>
        <v>1</v>
      </c>
      <c r="K118" s="156">
        <f t="shared" si="100"/>
        <v>0.05</v>
      </c>
      <c r="L118" s="155">
        <f t="shared" si="101"/>
        <v>0.64757192901481875</v>
      </c>
      <c r="M118" s="155">
        <f t="shared" si="102"/>
        <v>0.61165140704257726</v>
      </c>
      <c r="N118" s="4"/>
      <c r="O118" s="116">
        <f t="shared" si="78"/>
        <v>1</v>
      </c>
      <c r="P118" s="94">
        <f t="shared" si="103"/>
        <v>0.05</v>
      </c>
      <c r="Q118" s="155">
        <f t="shared" si="104"/>
        <v>0.64757192901481875</v>
      </c>
      <c r="R118" s="155">
        <f t="shared" si="105"/>
        <v>0.61165140704257726</v>
      </c>
      <c r="S118" s="51"/>
      <c r="T118" s="139">
        <f t="shared" si="79"/>
        <v>0</v>
      </c>
      <c r="U118" s="136">
        <f t="shared" si="94"/>
        <v>0</v>
      </c>
      <c r="W118" s="63">
        <f t="shared" si="80"/>
        <v>-287569.73611333675</v>
      </c>
      <c r="X118" s="63">
        <f t="shared" si="95"/>
        <v>147962.58623460543</v>
      </c>
      <c r="Y118" s="63">
        <f t="shared" si="96"/>
        <v>28756.97361133368</v>
      </c>
      <c r="Z118" s="63">
        <v>0</v>
      </c>
      <c r="AA118" s="63">
        <f t="shared" ca="1" si="81"/>
        <v>0</v>
      </c>
      <c r="AB118" s="64">
        <f t="shared" ca="1" si="69"/>
        <v>-110850.17626739763</v>
      </c>
      <c r="AC118" s="51"/>
      <c r="AD118" s="51">
        <f t="shared" si="70"/>
        <v>-271618.37293376564</v>
      </c>
      <c r="AE118" s="64">
        <f t="shared" si="82"/>
        <v>139755.16850728731</v>
      </c>
      <c r="AF118" s="64">
        <f t="shared" si="83"/>
        <v>27161.837293376568</v>
      </c>
      <c r="AG118" s="51">
        <f t="shared" si="71"/>
        <v>0</v>
      </c>
      <c r="AH118" s="64">
        <f t="shared" ca="1" si="84"/>
        <v>0</v>
      </c>
      <c r="AI118" s="64">
        <f t="shared" ca="1" si="72"/>
        <v>-104701.36713310177</v>
      </c>
      <c r="AJ118" s="57"/>
      <c r="AK118" s="51">
        <f ca="1">SUM(AD118:AD$121,AG118:AG$121)/D118+SUM(AE119:AF$122,AH119:AH$121)/D118</f>
        <v>-336794.58413588972</v>
      </c>
      <c r="AL118" s="51">
        <f>SUM(AE119:$AF$122)*$G$14/D118</f>
        <v>15048.958494733608</v>
      </c>
      <c r="AM118" s="51"/>
      <c r="AN118" s="51">
        <f ca="1">-SUM(AD118:$AD$122,AH118:$AH$122)/D118</f>
        <v>838426.53396034334</v>
      </c>
      <c r="AO118" s="51">
        <f ca="1">-SUM(W118:$W$122,AA118:$AA$122)</f>
        <v>840476.34212177689</v>
      </c>
      <c r="AQ118" s="9">
        <f t="shared" ca="1" si="73"/>
        <v>419.96851875784341</v>
      </c>
      <c r="AR118" s="9">
        <f t="shared" si="74"/>
        <v>73.237720475059177</v>
      </c>
      <c r="AS118" s="9">
        <f t="shared" ca="1" si="75"/>
        <v>2021.2888304108055</v>
      </c>
    </row>
    <row r="119" spans="1:45" outlineLevel="1" x14ac:dyDescent="0.55000000000000004">
      <c r="A119" s="9"/>
      <c r="B119" s="1" t="s">
        <v>29</v>
      </c>
      <c r="C119" s="3">
        <v>18</v>
      </c>
      <c r="D119" s="87">
        <f t="shared" si="85"/>
        <v>0.94218377471365067</v>
      </c>
      <c r="E119" s="4"/>
      <c r="F119" s="112">
        <f t="shared" si="97"/>
        <v>0.62243111185094213</v>
      </c>
      <c r="G119" s="84">
        <f t="shared" si="98"/>
        <v>0.63073748494028969</v>
      </c>
      <c r="H119" s="154">
        <f t="shared" si="99"/>
        <v>0.58644449446293512</v>
      </c>
      <c r="I119" s="4"/>
      <c r="J119" s="116">
        <f t="shared" si="77"/>
        <v>1</v>
      </c>
      <c r="K119" s="156">
        <f t="shared" si="100"/>
        <v>0.05</v>
      </c>
      <c r="L119" s="155">
        <f t="shared" si="101"/>
        <v>0.63073748494028969</v>
      </c>
      <c r="M119" s="155">
        <f t="shared" si="102"/>
        <v>0.59427062441443657</v>
      </c>
      <c r="N119" s="4"/>
      <c r="O119" s="116">
        <f t="shared" si="78"/>
        <v>1</v>
      </c>
      <c r="P119" s="94">
        <f t="shared" si="103"/>
        <v>0.05</v>
      </c>
      <c r="Q119" s="155">
        <f t="shared" si="104"/>
        <v>0.63073748494028969</v>
      </c>
      <c r="R119" s="155">
        <f t="shared" si="105"/>
        <v>0.59427062441443657</v>
      </c>
      <c r="S119" s="51"/>
      <c r="T119" s="139">
        <f t="shared" si="79"/>
        <v>0</v>
      </c>
      <c r="U119" s="136">
        <f t="shared" si="94"/>
        <v>0</v>
      </c>
      <c r="W119" s="63">
        <f t="shared" si="80"/>
        <v>-280094.00033292396</v>
      </c>
      <c r="X119" s="63">
        <f t="shared" si="95"/>
        <v>144295.92167459012</v>
      </c>
      <c r="Y119" s="63">
        <f t="shared" si="96"/>
        <v>28009.400033292397</v>
      </c>
      <c r="Z119" s="63">
        <v>0</v>
      </c>
      <c r="AA119" s="63">
        <f t="shared" ca="1" si="81"/>
        <v>0</v>
      </c>
      <c r="AB119" s="64">
        <f t="shared" ca="1" si="69"/>
        <v>-107788.67862504144</v>
      </c>
      <c r="AC119" s="51"/>
      <c r="AD119" s="51">
        <f t="shared" si="70"/>
        <v>-263900.02250832081</v>
      </c>
      <c r="AE119" s="64">
        <f t="shared" si="82"/>
        <v>135953.27615915061</v>
      </c>
      <c r="AF119" s="64">
        <f t="shared" si="83"/>
        <v>26390.002250832084</v>
      </c>
      <c r="AG119" s="51">
        <f t="shared" si="71"/>
        <v>0</v>
      </c>
      <c r="AH119" s="64">
        <f t="shared" ca="1" si="84"/>
        <v>0</v>
      </c>
      <c r="AI119" s="64">
        <f t="shared" ca="1" si="72"/>
        <v>-101556.74409833811</v>
      </c>
      <c r="AJ119" s="57"/>
      <c r="AK119" s="51">
        <f ca="1">SUM(AD119:AD$121,AG119:AG$121)/D119+SUM(AE120:AF$122,AH120:AH$121)/D119</f>
        <v>-221652.77304115565</v>
      </c>
      <c r="AL119" s="51">
        <f>SUM(AE120:$AF$122)*$G$14/D119</f>
        <v>9917.2809731220423</v>
      </c>
      <c r="AM119" s="51"/>
      <c r="AN119" s="51">
        <f ca="1">-SUM(AD119:$AD$122,AH119:$AH$122)/D119</f>
        <v>552228.80547855713</v>
      </c>
      <c r="AO119" s="51">
        <f ca="1">-SUM(W119:$W$122,AA119:$AA$122)</f>
        <v>552906.60600844026</v>
      </c>
      <c r="AQ119" s="9">
        <f t="shared" ca="1" si="73"/>
        <v>543.74903549638111</v>
      </c>
      <c r="AR119" s="9">
        <f t="shared" si="74"/>
        <v>36.396372637915192</v>
      </c>
      <c r="AS119" s="9">
        <f t="shared" ca="1" si="75"/>
        <v>669.46338576753624</v>
      </c>
    </row>
    <row r="120" spans="1:45" outlineLevel="1" x14ac:dyDescent="0.55000000000000004">
      <c r="A120" s="9"/>
      <c r="B120" s="1" t="s">
        <v>30</v>
      </c>
      <c r="C120" s="3">
        <v>19</v>
      </c>
      <c r="D120" s="87">
        <f t="shared" si="85"/>
        <v>0.93984292737572495</v>
      </c>
      <c r="E120" s="4"/>
      <c r="F120" s="112">
        <f t="shared" si="97"/>
        <v>0.60625023483448059</v>
      </c>
      <c r="G120" s="84">
        <f t="shared" si="98"/>
        <v>0.61434067334271136</v>
      </c>
      <c r="H120" s="154">
        <f t="shared" si="99"/>
        <v>0.56977999542905899</v>
      </c>
      <c r="I120" s="4"/>
      <c r="J120" s="116">
        <f t="shared" si="77"/>
        <v>1</v>
      </c>
      <c r="K120" s="156">
        <f t="shared" si="100"/>
        <v>0.05</v>
      </c>
      <c r="L120" s="155">
        <f t="shared" si="101"/>
        <v>0.61434067334271136</v>
      </c>
      <c r="M120" s="155">
        <f t="shared" si="102"/>
        <v>0.5773837368403878</v>
      </c>
      <c r="N120" s="4"/>
      <c r="O120" s="116">
        <f t="shared" si="78"/>
        <v>1</v>
      </c>
      <c r="P120" s="94">
        <f t="shared" si="103"/>
        <v>0.05</v>
      </c>
      <c r="Q120" s="155">
        <f t="shared" si="104"/>
        <v>0.61434067334271136</v>
      </c>
      <c r="R120" s="155">
        <f t="shared" si="105"/>
        <v>0.5773837368403878</v>
      </c>
      <c r="S120" s="51"/>
      <c r="T120" s="139">
        <f t="shared" si="79"/>
        <v>0</v>
      </c>
      <c r="U120" s="136">
        <f t="shared" si="94"/>
        <v>0</v>
      </c>
      <c r="W120" s="63">
        <f t="shared" si="80"/>
        <v>-272812.60567551624</v>
      </c>
      <c r="X120" s="63">
        <f t="shared" si="95"/>
        <v>140720.12082098742</v>
      </c>
      <c r="Y120" s="63">
        <f t="shared" si="96"/>
        <v>27281.260567551628</v>
      </c>
      <c r="Z120" s="63">
        <v>0</v>
      </c>
      <c r="AA120" s="63">
        <f t="shared" ca="1" si="81"/>
        <v>0</v>
      </c>
      <c r="AB120" s="64">
        <f t="shared" ca="1" si="69"/>
        <v>-104811.2242869772</v>
      </c>
      <c r="AC120" s="51"/>
      <c r="AD120" s="51">
        <f t="shared" si="70"/>
        <v>-256400.99794307651</v>
      </c>
      <c r="AE120" s="64">
        <f t="shared" si="82"/>
        <v>132254.8102930625</v>
      </c>
      <c r="AF120" s="64">
        <f t="shared" si="83"/>
        <v>25640.099794307655</v>
      </c>
      <c r="AG120" s="51">
        <f t="shared" si="71"/>
        <v>0</v>
      </c>
      <c r="AH120" s="64">
        <f t="shared" ca="1" si="84"/>
        <v>0</v>
      </c>
      <c r="AI120" s="64">
        <f t="shared" ca="1" si="72"/>
        <v>-98506.087855706355</v>
      </c>
      <c r="AJ120" s="57"/>
      <c r="AK120" s="51">
        <f ca="1">SUM(AD120:AD$121,AG120:AG$121)/D120+SUM(AE121:AF$122,AH121:AH$121)/D120</f>
        <v>-109414.59574085163</v>
      </c>
      <c r="AL120" s="51">
        <f>SUM(AE121:$AF$122)*$G$14/D120</f>
        <v>4901.9402980399382</v>
      </c>
      <c r="AM120" s="51"/>
      <c r="AN120" s="51">
        <f ca="1">-SUM(AD120:$AD$122,AH120:$AH$122)/D120</f>
        <v>272812.60567551624</v>
      </c>
      <c r="AO120" s="51">
        <f ca="1">-SUM(W120:$W$122,AA120:$AA$122)</f>
        <v>272812.60567551624</v>
      </c>
      <c r="AQ120" s="9">
        <f t="shared" ca="1" si="73"/>
        <v>401.9661685685569</v>
      </c>
      <c r="AR120" s="9">
        <f t="shared" si="74"/>
        <v>12.058985057056816</v>
      </c>
      <c r="AS120" s="9">
        <f t="shared" ca="1" si="75"/>
        <v>0</v>
      </c>
    </row>
    <row r="121" spans="1:45" outlineLevel="1" x14ac:dyDescent="0.55000000000000004">
      <c r="A121" s="9"/>
      <c r="B121" s="1" t="s">
        <v>31</v>
      </c>
      <c r="C121" s="3">
        <v>20</v>
      </c>
      <c r="D121" s="87">
        <f t="shared" si="85"/>
        <v>0.93750789585251237</v>
      </c>
      <c r="E121" s="4"/>
      <c r="F121" s="112">
        <f t="shared" si="97"/>
        <v>0.59049000000000018</v>
      </c>
      <c r="G121" s="84">
        <f t="shared" si="98"/>
        <v>0.59837011741724044</v>
      </c>
      <c r="H121" s="154">
        <f t="shared" si="99"/>
        <v>0.5535890374219502</v>
      </c>
      <c r="I121" s="4"/>
      <c r="J121" s="116">
        <f t="shared" si="77"/>
        <v>1</v>
      </c>
      <c r="K121" s="156">
        <f t="shared" si="100"/>
        <v>0.05</v>
      </c>
      <c r="L121" s="155">
        <f t="shared" si="101"/>
        <v>0.59837011741724044</v>
      </c>
      <c r="M121" s="155">
        <f t="shared" si="102"/>
        <v>0.56097670972085789</v>
      </c>
      <c r="N121" s="4"/>
      <c r="O121" s="116">
        <f t="shared" si="78"/>
        <v>1</v>
      </c>
      <c r="P121" s="94">
        <f t="shared" si="103"/>
        <v>0.05</v>
      </c>
      <c r="Q121" s="155">
        <f t="shared" si="104"/>
        <v>0.59837011741724044</v>
      </c>
      <c r="R121" s="155">
        <f t="shared" si="105"/>
        <v>0.56097670972085789</v>
      </c>
      <c r="S121" s="51"/>
      <c r="T121" s="139">
        <f t="shared" si="79"/>
        <v>0</v>
      </c>
      <c r="U121" s="136">
        <f t="shared" si="94"/>
        <v>0</v>
      </c>
      <c r="W121" s="63">
        <f t="shared" si="80"/>
        <v>0</v>
      </c>
      <c r="X121" s="63">
        <f t="shared" si="95"/>
        <v>137232.93197801011</v>
      </c>
      <c r="Y121" s="63">
        <f t="shared" si="96"/>
        <v>26572.050000000007</v>
      </c>
      <c r="Z121" s="63">
        <v>0</v>
      </c>
      <c r="AA121" s="63">
        <f t="shared" ca="1" si="81"/>
        <v>0</v>
      </c>
      <c r="AB121" s="64">
        <f t="shared" ca="1" si="69"/>
        <v>163804.98197801012</v>
      </c>
      <c r="AC121" s="51"/>
      <c r="AD121" s="51">
        <f t="shared" si="70"/>
        <v>0</v>
      </c>
      <c r="AE121" s="64">
        <f t="shared" si="82"/>
        <v>128656.95730037522</v>
      </c>
      <c r="AF121" s="64">
        <f t="shared" si="83"/>
        <v>24911.506683987758</v>
      </c>
      <c r="AG121" s="51">
        <f t="shared" si="71"/>
        <v>0</v>
      </c>
      <c r="AH121" s="64">
        <f t="shared" ca="1" si="84"/>
        <v>0</v>
      </c>
      <c r="AI121" s="64">
        <f t="shared" ca="1" si="72"/>
        <v>153568.46398436298</v>
      </c>
      <c r="AJ121" s="57"/>
      <c r="AK121" s="51">
        <f ca="1">SUM(AD121:AD$121,AG121:AG$121)/D121+SUM(AE122:AF$122,AH$121:AH122)/D121</f>
        <v>0</v>
      </c>
      <c r="AL121" s="51">
        <f>SUM(AE122:$AF$122)*$G$14/D121</f>
        <v>0</v>
      </c>
      <c r="AM121" s="51"/>
      <c r="AN121" s="51">
        <f ca="1">-SUM(AD121:$AD$122,AH121:$AH$122)/D121</f>
        <v>0</v>
      </c>
      <c r="AO121" s="51">
        <f ca="1">-SUM(W121:$W$122,AA121:$AA$122)</f>
        <v>0</v>
      </c>
      <c r="AQ121" s="9">
        <f t="shared" ca="1" si="73"/>
        <v>0</v>
      </c>
      <c r="AR121" s="9">
        <f t="shared" si="74"/>
        <v>0</v>
      </c>
      <c r="AS121" s="9">
        <f t="shared" ca="1" si="75"/>
        <v>0</v>
      </c>
    </row>
    <row r="122" spans="1:45" outlineLevel="1" x14ac:dyDescent="0.55000000000000004">
      <c r="B122" s="8"/>
      <c r="C122" s="6"/>
      <c r="D122" s="7"/>
      <c r="E122" s="2"/>
      <c r="F122" s="113"/>
      <c r="G122" s="85"/>
      <c r="H122" s="79"/>
      <c r="I122" s="2"/>
      <c r="J122" s="6"/>
      <c r="K122" s="6"/>
      <c r="L122" s="71"/>
      <c r="M122" s="90"/>
      <c r="N122" s="2"/>
      <c r="O122" s="12"/>
      <c r="P122" s="12"/>
      <c r="Q122" s="50"/>
      <c r="R122" s="90"/>
      <c r="S122" s="55"/>
      <c r="T122" s="137"/>
      <c r="U122" s="137"/>
      <c r="W122" s="66"/>
      <c r="X122" s="66"/>
      <c r="Y122" s="66"/>
      <c r="Z122" s="66"/>
      <c r="AA122" s="66"/>
      <c r="AB122" s="66"/>
      <c r="AC122" s="55"/>
      <c r="AD122" s="67"/>
      <c r="AE122" s="68"/>
      <c r="AF122" s="68"/>
      <c r="AG122" s="67"/>
      <c r="AH122" s="67"/>
      <c r="AI122" s="68"/>
      <c r="AJ122" s="57"/>
      <c r="AK122" s="67"/>
      <c r="AL122" s="67"/>
      <c r="AM122" s="51"/>
      <c r="AN122" s="122"/>
      <c r="AO122" s="122"/>
      <c r="AQ122" s="67"/>
      <c r="AR122" s="67"/>
      <c r="AS122" s="67"/>
    </row>
    <row r="123" spans="1:45" outlineLevel="1" x14ac:dyDescent="0.55000000000000004">
      <c r="A123" s="9"/>
      <c r="B123" s="4"/>
      <c r="C123" s="4"/>
      <c r="D123" s="4"/>
      <c r="E123" s="4"/>
      <c r="F123" s="3"/>
      <c r="G123" s="3"/>
      <c r="H123" s="4"/>
      <c r="I123" s="4"/>
      <c r="J123" s="4"/>
      <c r="K123" s="4"/>
      <c r="L123" s="51"/>
      <c r="M123" s="51"/>
      <c r="N123" s="4"/>
      <c r="O123" s="4"/>
      <c r="P123" s="4"/>
      <c r="Q123" s="51"/>
      <c r="R123" s="51"/>
      <c r="S123" s="51"/>
      <c r="T123" s="4"/>
      <c r="U123" s="4"/>
      <c r="W123" s="51"/>
      <c r="X123" s="51"/>
      <c r="Y123" s="51"/>
      <c r="Z123" s="51"/>
      <c r="AA123" s="51"/>
      <c r="AB123" s="51"/>
      <c r="AC123" s="51"/>
      <c r="AD123" s="51"/>
      <c r="AE123" s="51"/>
      <c r="AF123" s="51"/>
      <c r="AG123" s="51"/>
      <c r="AH123" s="51"/>
      <c r="AI123" s="51"/>
      <c r="AJ123" s="57"/>
      <c r="AK123" s="51"/>
      <c r="AL123" s="51"/>
      <c r="AM123" s="51"/>
      <c r="AN123" s="70"/>
      <c r="AO123" s="70"/>
      <c r="AQ123" s="51"/>
      <c r="AR123" s="51"/>
      <c r="AS123" s="51"/>
    </row>
    <row r="124" spans="1:45" outlineLevel="1" x14ac:dyDescent="0.55000000000000004">
      <c r="A124" s="9"/>
      <c r="B124" s="24"/>
      <c r="C124" s="24"/>
      <c r="D124" s="25"/>
      <c r="E124" s="4"/>
      <c r="F124" s="26"/>
      <c r="G124" s="26"/>
      <c r="H124" s="26"/>
      <c r="I124" s="4"/>
      <c r="J124" s="80">
        <f>SUM(J102:J121)</f>
        <v>20</v>
      </c>
      <c r="K124" s="95">
        <f>SUM(K102:K121)</f>
        <v>1.0000000000000002</v>
      </c>
      <c r="L124" s="81">
        <f>SUM(L102:L121)</f>
        <v>15.028973846827309</v>
      </c>
      <c r="M124" s="81">
        <f>SUM(M102:M121)</f>
        <v>14.486368443692633</v>
      </c>
      <c r="N124" s="4"/>
      <c r="O124" s="80">
        <f>SUM(O102:O121)</f>
        <v>20</v>
      </c>
      <c r="P124" s="95">
        <f>SUM(P102:P121)</f>
        <v>1.0000000000000002</v>
      </c>
      <c r="Q124" s="81">
        <f>SUM(Q102:Q121)</f>
        <v>15.028973846827309</v>
      </c>
      <c r="R124" s="81">
        <f>SUM(R102:R121)</f>
        <v>14.486368443692633</v>
      </c>
      <c r="S124" s="52"/>
      <c r="T124" s="80">
        <f>SUM(T102:T121)</f>
        <v>1</v>
      </c>
      <c r="U124" s="95">
        <f>SUM(U102:U121)</f>
        <v>1</v>
      </c>
      <c r="W124" s="52">
        <f t="shared" ref="W124:AB124" si="106">SUM(W101:W121)</f>
        <v>-6855177.981072288</v>
      </c>
      <c r="X124" s="52">
        <f t="shared" si="106"/>
        <v>3623110.3670876105</v>
      </c>
      <c r="Y124" s="52">
        <f t="shared" si="106"/>
        <v>778649.36724928406</v>
      </c>
      <c r="Z124" s="52">
        <f t="shared" si="106"/>
        <v>-900000</v>
      </c>
      <c r="AA124" s="52">
        <f t="shared" ca="1" si="106"/>
        <v>0</v>
      </c>
      <c r="AB124" s="52">
        <f t="shared" ca="1" si="106"/>
        <v>-3353418.2467353931</v>
      </c>
      <c r="AC124" s="51"/>
      <c r="AD124" s="52">
        <f t="shared" ref="AD124:AI124" si="107">SUM(AD101:AD121)</f>
        <v>-6630406.3084846064</v>
      </c>
      <c r="AE124" s="52">
        <f t="shared" si="107"/>
        <v>3495971.6452931538</v>
      </c>
      <c r="AF124" s="52">
        <f t="shared" si="107"/>
        <v>752687.36623940594</v>
      </c>
      <c r="AG124" s="52">
        <f t="shared" si="107"/>
        <v>-900000</v>
      </c>
      <c r="AH124" s="52">
        <f t="shared" ca="1" si="107"/>
        <v>0</v>
      </c>
      <c r="AI124" s="52">
        <f t="shared" ca="1" si="107"/>
        <v>-3281747.2969520465</v>
      </c>
      <c r="AJ124" s="52"/>
      <c r="AK124" s="52"/>
      <c r="AL124" s="52"/>
      <c r="AM124" s="51"/>
      <c r="AN124" s="70"/>
      <c r="AO124" s="70"/>
      <c r="AQ124" s="52"/>
      <c r="AR124" s="52"/>
      <c r="AS124" s="52"/>
    </row>
    <row r="125" spans="1:45" ht="15.3" x14ac:dyDescent="0.55000000000000004">
      <c r="A125" s="9"/>
      <c r="B125" s="24"/>
      <c r="C125" s="24"/>
      <c r="D125" s="4"/>
      <c r="E125" s="4"/>
      <c r="F125" s="4"/>
      <c r="G125" s="4"/>
      <c r="H125" s="4"/>
      <c r="I125" s="4"/>
      <c r="J125" s="24"/>
      <c r="K125" s="24"/>
      <c r="L125" s="52"/>
      <c r="M125" s="52"/>
      <c r="N125" s="4"/>
      <c r="O125" s="24"/>
      <c r="P125" s="24"/>
      <c r="Q125" s="52"/>
      <c r="R125" s="52"/>
      <c r="S125" s="51"/>
      <c r="T125" s="52"/>
      <c r="U125" s="72"/>
      <c r="V125" s="72"/>
      <c r="W125" s="52"/>
      <c r="X125" s="52"/>
      <c r="Y125" s="52"/>
      <c r="Z125" s="51"/>
      <c r="AA125" s="52"/>
      <c r="AB125" s="73"/>
      <c r="AC125" s="73"/>
      <c r="AD125" s="52"/>
      <c r="AE125" s="52"/>
      <c r="AF125" s="52"/>
      <c r="AG125" s="57"/>
      <c r="AH125" s="52"/>
      <c r="AI125" s="52"/>
      <c r="AJ125" s="51"/>
      <c r="AK125" s="51"/>
      <c r="AL125" s="51"/>
    </row>
    <row r="126" spans="1:45" ht="15.3" x14ac:dyDescent="0.55000000000000004">
      <c r="A126" s="9"/>
      <c r="B126" s="24"/>
      <c r="C126" s="24"/>
      <c r="D126" s="4"/>
      <c r="E126" s="4"/>
      <c r="F126" s="4"/>
      <c r="G126" s="4"/>
      <c r="H126" s="4"/>
      <c r="I126" s="4"/>
      <c r="J126" s="24"/>
      <c r="K126" s="24"/>
      <c r="L126" s="52"/>
      <c r="M126" s="52"/>
      <c r="N126" s="4"/>
      <c r="O126" s="24"/>
      <c r="P126" s="24"/>
      <c r="Q126" s="52"/>
      <c r="R126" s="52"/>
      <c r="S126" s="51"/>
      <c r="T126" s="52"/>
      <c r="U126" s="72"/>
      <c r="V126" s="72"/>
      <c r="W126" s="52"/>
      <c r="X126" s="52"/>
      <c r="Y126" s="52"/>
      <c r="Z126" s="51"/>
      <c r="AA126" s="52"/>
      <c r="AB126" s="73"/>
      <c r="AC126" s="73"/>
      <c r="AD126" s="52"/>
      <c r="AE126" s="52"/>
      <c r="AF126" s="52"/>
      <c r="AG126" s="57"/>
      <c r="AH126" s="52"/>
      <c r="AI126" s="52"/>
      <c r="AJ126" s="51"/>
      <c r="AK126" s="51"/>
      <c r="AL126" s="51"/>
    </row>
    <row r="127" spans="1:45" ht="18.3" x14ac:dyDescent="0.55000000000000004">
      <c r="A127" s="2"/>
      <c r="B127" s="144" t="s">
        <v>174</v>
      </c>
      <c r="C127" s="108"/>
      <c r="D127" s="109"/>
      <c r="H127" s="106"/>
      <c r="J127" s="2"/>
      <c r="K127" s="2"/>
      <c r="N127" s="2"/>
      <c r="O127" s="2"/>
      <c r="P127" s="2"/>
      <c r="Q127" s="2"/>
      <c r="S127" s="2"/>
      <c r="T127" s="2"/>
      <c r="U127" s="2"/>
      <c r="V127" s="2"/>
      <c r="W127" s="2"/>
      <c r="X127" s="2"/>
      <c r="Y127" s="2"/>
      <c r="Z127" s="2"/>
      <c r="AA127" s="22"/>
      <c r="AB127" s="2"/>
      <c r="AC127" s="2"/>
      <c r="AD127" s="2"/>
      <c r="AE127" s="2"/>
      <c r="AF127" s="2"/>
      <c r="AG127" s="21"/>
      <c r="AH127" s="2"/>
      <c r="AI127" s="2"/>
      <c r="AJ127" s="2"/>
      <c r="AK127" s="2"/>
      <c r="AL127" s="2"/>
    </row>
    <row r="128" spans="1:45" s="2" customFormat="1" outlineLevel="1" x14ac:dyDescent="0.55000000000000004">
      <c r="A128"/>
      <c r="B128"/>
      <c r="C128"/>
      <c r="AL128" s="70"/>
      <c r="AM128" s="70"/>
      <c r="AN128" s="70"/>
    </row>
    <row r="129" spans="1:52" s="2" customFormat="1" ht="19.899999999999999" customHeight="1" outlineLevel="1" x14ac:dyDescent="0.55000000000000004">
      <c r="A129"/>
      <c r="B129" s="173" t="s">
        <v>155</v>
      </c>
      <c r="C129" s="173"/>
      <c r="D129" s="13"/>
      <c r="E129" s="175" t="s">
        <v>144</v>
      </c>
      <c r="F129" s="175"/>
      <c r="G129" s="175"/>
      <c r="H129" s="175"/>
      <c r="I129" s="175"/>
      <c r="J129" s="175"/>
      <c r="K129" s="175"/>
      <c r="L129" s="175"/>
      <c r="M129" s="175"/>
      <c r="O129" s="175" t="s">
        <v>341</v>
      </c>
      <c r="P129" s="175"/>
      <c r="Q129" s="175"/>
      <c r="R129" s="175"/>
      <c r="S129" s="175"/>
      <c r="T129" s="175"/>
      <c r="U129" s="175"/>
      <c r="W129" s="175" t="s">
        <v>145</v>
      </c>
      <c r="X129" s="175"/>
      <c r="Y129" s="175"/>
      <c r="Z129" s="175"/>
      <c r="AA129" s="175"/>
      <c r="AB129" s="175"/>
      <c r="AC129" s="175"/>
      <c r="AD129" s="175"/>
      <c r="AE129" s="175"/>
      <c r="AF129" s="110"/>
      <c r="AG129" s="175" t="s">
        <v>153</v>
      </c>
      <c r="AH129" s="175"/>
      <c r="AI129" s="175"/>
      <c r="AJ129" s="175"/>
      <c r="AK129" s="175"/>
      <c r="AL129" s="175"/>
      <c r="AM129" s="175"/>
      <c r="AN129" s="175"/>
      <c r="AO129" s="175"/>
      <c r="AQ129" s="70"/>
      <c r="AR129" s="70"/>
      <c r="AS129" s="70"/>
    </row>
    <row r="130" spans="1:52" s="2" customFormat="1" ht="30.6" customHeight="1" outlineLevel="1" x14ac:dyDescent="0.55000000000000004">
      <c r="A130"/>
      <c r="B130" s="146" t="s">
        <v>149</v>
      </c>
      <c r="C130" s="146" t="s">
        <v>10</v>
      </c>
      <c r="D130" s="13"/>
      <c r="E130" s="76" t="s">
        <v>11</v>
      </c>
      <c r="F130" s="76" t="s">
        <v>353</v>
      </c>
      <c r="G130" s="76" t="s">
        <v>354</v>
      </c>
      <c r="H130" s="76" t="s">
        <v>13</v>
      </c>
      <c r="I130" s="76" t="s">
        <v>355</v>
      </c>
      <c r="J130" s="76" t="s">
        <v>121</v>
      </c>
      <c r="K130" s="76" t="s">
        <v>356</v>
      </c>
      <c r="L130" s="76" t="s">
        <v>357</v>
      </c>
      <c r="M130" s="76" t="s">
        <v>15</v>
      </c>
      <c r="O130" s="76" t="s">
        <v>11</v>
      </c>
      <c r="P130" s="76" t="s">
        <v>353</v>
      </c>
      <c r="Q130" s="76" t="s">
        <v>13</v>
      </c>
      <c r="R130" s="76" t="s">
        <v>136</v>
      </c>
      <c r="S130" s="76" t="s">
        <v>356</v>
      </c>
      <c r="T130" s="76" t="s">
        <v>148</v>
      </c>
      <c r="U130" s="76" t="s">
        <v>15</v>
      </c>
      <c r="W130" s="76" t="s">
        <v>11</v>
      </c>
      <c r="X130" s="76" t="s">
        <v>353</v>
      </c>
      <c r="Y130" s="76" t="s">
        <v>13</v>
      </c>
      <c r="Z130" s="76" t="s">
        <v>399</v>
      </c>
      <c r="AA130" s="76" t="s">
        <v>356</v>
      </c>
      <c r="AB130" s="76" t="s">
        <v>402</v>
      </c>
      <c r="AC130" s="76" t="s">
        <v>403</v>
      </c>
      <c r="AD130" s="76" t="s">
        <v>136</v>
      </c>
      <c r="AE130" s="76" t="s">
        <v>15</v>
      </c>
      <c r="AF130" s="149"/>
      <c r="AG130" s="76" t="s">
        <v>11</v>
      </c>
      <c r="AH130" s="76" t="s">
        <v>353</v>
      </c>
      <c r="AI130" s="76" t="s">
        <v>13</v>
      </c>
      <c r="AJ130" s="76" t="s">
        <v>399</v>
      </c>
      <c r="AK130" s="76" t="s">
        <v>356</v>
      </c>
      <c r="AL130" s="76" t="s">
        <v>402</v>
      </c>
      <c r="AM130" s="76" t="s">
        <v>403</v>
      </c>
      <c r="AN130" s="76" t="s">
        <v>136</v>
      </c>
      <c r="AO130" s="76" t="s">
        <v>15</v>
      </c>
      <c r="AQ130" s="70"/>
      <c r="AR130" s="70"/>
      <c r="AS130" s="70"/>
    </row>
    <row r="131" spans="1:52" s="2" customFormat="1" outlineLevel="1" x14ac:dyDescent="0.55000000000000004">
      <c r="A131" s="19"/>
      <c r="B131" s="15" t="s">
        <v>276</v>
      </c>
      <c r="C131" s="15" t="s">
        <v>277</v>
      </c>
      <c r="D131" s="13"/>
      <c r="E131" s="16" t="s">
        <v>278</v>
      </c>
      <c r="F131" s="16" t="s">
        <v>279</v>
      </c>
      <c r="G131" s="16" t="s">
        <v>280</v>
      </c>
      <c r="H131" s="16" t="s">
        <v>281</v>
      </c>
      <c r="I131" s="16" t="s">
        <v>282</v>
      </c>
      <c r="J131" s="16" t="s">
        <v>283</v>
      </c>
      <c r="K131" s="16" t="s">
        <v>284</v>
      </c>
      <c r="L131" s="16" t="s">
        <v>285</v>
      </c>
      <c r="M131" s="16" t="s">
        <v>286</v>
      </c>
      <c r="O131" s="16" t="s">
        <v>287</v>
      </c>
      <c r="P131" s="16" t="s">
        <v>288</v>
      </c>
      <c r="Q131" s="16" t="s">
        <v>289</v>
      </c>
      <c r="R131" s="16" t="s">
        <v>290</v>
      </c>
      <c r="S131" s="16" t="s">
        <v>291</v>
      </c>
      <c r="T131" s="16" t="s">
        <v>292</v>
      </c>
      <c r="U131" s="16" t="s">
        <v>293</v>
      </c>
      <c r="W131" s="16" t="s">
        <v>294</v>
      </c>
      <c r="X131" s="16" t="s">
        <v>295</v>
      </c>
      <c r="Y131" s="16" t="s">
        <v>296</v>
      </c>
      <c r="Z131" s="16" t="s">
        <v>297</v>
      </c>
      <c r="AA131" s="16" t="s">
        <v>298</v>
      </c>
      <c r="AB131" s="16" t="s">
        <v>299</v>
      </c>
      <c r="AC131" s="16" t="s">
        <v>300</v>
      </c>
      <c r="AD131" s="16" t="s">
        <v>301</v>
      </c>
      <c r="AE131" s="16" t="s">
        <v>302</v>
      </c>
      <c r="AF131" s="150"/>
      <c r="AG131" s="16" t="s">
        <v>303</v>
      </c>
      <c r="AH131" s="16" t="s">
        <v>304</v>
      </c>
      <c r="AI131" s="16" t="s">
        <v>305</v>
      </c>
      <c r="AJ131" s="16" t="s">
        <v>306</v>
      </c>
      <c r="AK131" s="16" t="s">
        <v>400</v>
      </c>
      <c r="AL131" s="16" t="s">
        <v>404</v>
      </c>
      <c r="AM131" s="16" t="s">
        <v>405</v>
      </c>
      <c r="AN131" s="16" t="s">
        <v>406</v>
      </c>
      <c r="AO131" s="16" t="s">
        <v>407</v>
      </c>
      <c r="AQ131" s="70"/>
      <c r="AR131" s="70"/>
      <c r="AS131" s="70"/>
    </row>
    <row r="132" spans="1:52" s="2" customFormat="1" outlineLevel="1" x14ac:dyDescent="0.55000000000000004">
      <c r="A132"/>
      <c r="B132" s="1"/>
      <c r="C132" s="3">
        <v>0</v>
      </c>
      <c r="D132" s="13"/>
      <c r="E132" s="63"/>
      <c r="F132" s="63"/>
      <c r="G132" s="63"/>
      <c r="H132" s="63"/>
      <c r="I132" s="63"/>
      <c r="K132" s="63"/>
      <c r="L132" s="63"/>
      <c r="M132" s="63"/>
      <c r="O132" s="63"/>
      <c r="P132" s="63"/>
      <c r="Q132" s="4"/>
      <c r="R132" s="4"/>
      <c r="S132" s="4"/>
      <c r="T132" s="63"/>
      <c r="U132" s="4"/>
      <c r="W132" s="63"/>
      <c r="X132" s="4"/>
      <c r="Y132" s="4"/>
      <c r="Z132" s="4"/>
      <c r="AA132" s="4"/>
      <c r="AB132" s="4"/>
      <c r="AC132" s="4"/>
      <c r="AD132" s="4"/>
      <c r="AE132" s="4"/>
      <c r="AF132" s="110"/>
      <c r="AG132" s="63"/>
      <c r="AH132" s="4"/>
      <c r="AI132" s="4"/>
      <c r="AJ132" s="4"/>
      <c r="AK132" s="4"/>
      <c r="AL132" s="4"/>
      <c r="AM132" s="4"/>
      <c r="AN132" s="4"/>
      <c r="AO132" s="4"/>
      <c r="AQ132" s="70"/>
      <c r="AR132" s="70"/>
      <c r="AS132" s="70"/>
    </row>
    <row r="133" spans="1:52" s="2" customFormat="1" outlineLevel="1" x14ac:dyDescent="0.55000000000000004">
      <c r="A133" s="9"/>
      <c r="B133" s="1" t="s">
        <v>6</v>
      </c>
      <c r="C133" s="3">
        <v>1</v>
      </c>
      <c r="D133" s="13"/>
      <c r="E133" s="63">
        <f t="shared" ref="E133:E144" si="108">IF(C133=1,0,M132)</f>
        <v>0</v>
      </c>
      <c r="F133" s="63">
        <f t="shared" ref="F133:F152" ca="1" si="109">IF($C133=1,$AK$39,0)</f>
        <v>-2414506.7984146737</v>
      </c>
      <c r="G133" s="63">
        <f t="shared" ref="G133:G152" si="110">IF($C133&lt;=$F$8,-(W39+Z39),-(W101+Z101))</f>
        <v>1350000</v>
      </c>
      <c r="H133" s="63">
        <f t="shared" ref="H133:H144" ca="1" si="111">SUM(E133:G133)*((1+IF($C133&lt;=$F$8,$F$17,$G$17))^(1/4)-1)</f>
        <v>-5283.0743997422996</v>
      </c>
      <c r="I133" s="63">
        <f t="shared" ref="I133:I152" si="112">IF($C133&lt;=$F$8,-(X40+Y40),-(X102+Y102))</f>
        <v>-319823.78858537588</v>
      </c>
      <c r="J133" s="63">
        <f t="shared" ref="J133:J152" ca="1" si="113">IF($C133&lt;=$F$8,-(AA40),-(AA102))</f>
        <v>0</v>
      </c>
      <c r="K133" s="63">
        <f t="shared" ref="K133:K152" si="114">IF($C133=$F$8,AQ71,0)</f>
        <v>0</v>
      </c>
      <c r="L133" s="63">
        <f t="shared" ref="L133:L152" si="115">IF($C133=$F$8,AQ102,0)</f>
        <v>0</v>
      </c>
      <c r="M133" s="63">
        <f t="shared" ref="M133:M144" ca="1" si="116">SUM(E133:L133)</f>
        <v>-1389613.6613997919</v>
      </c>
      <c r="N133" s="124"/>
      <c r="O133" s="63">
        <f t="shared" ref="O133:O144" si="117">IF(C133=1,0,U132)</f>
        <v>0</v>
      </c>
      <c r="P133" s="63">
        <f t="shared" ref="P133:P152" si="118">IF($C133=1,$AL$39,0)</f>
        <v>192771.74574995536</v>
      </c>
      <c r="Q133" s="4">
        <f t="shared" ref="Q133:Q144" si="119">SUM(O133:P133)*((1+IF($C133&lt;=$F$8,$F$17,$G$17))^(1/4)-1)</f>
        <v>956.71298340407304</v>
      </c>
      <c r="R133" s="4">
        <f>U133-SUM(S133:T133,O133:Q133)</f>
        <v>-15991.189429268794</v>
      </c>
      <c r="S133" s="4">
        <f t="shared" ref="S133:S152" si="120">IF($C133=$F$8,AR71,0)</f>
        <v>0</v>
      </c>
      <c r="T133" s="63">
        <f t="shared" ref="T133:T152" si="121">IF($C133=$F$8,AR102,0)</f>
        <v>0</v>
      </c>
      <c r="U133" s="4">
        <f t="shared" ref="U133:U152" si="122">IF(C133&lt;$F$8,AL40,AL102)</f>
        <v>177737.26930409065</v>
      </c>
      <c r="V133" s="124"/>
      <c r="W133" s="63">
        <f t="shared" ref="W133:W152" si="123">IF(C133=1,0,AE132)</f>
        <v>0</v>
      </c>
      <c r="X133" s="4">
        <f t="shared" ref="X133:X144" ca="1" si="124">IF($C133=1,MAX(-F133-P133,0),0)</f>
        <v>2221735.0526647181</v>
      </c>
      <c r="Y133" s="4">
        <f ca="1">SUM(W133:X133)*((1+$F$17)^(1/4)-1)</f>
        <v>11026.319040163386</v>
      </c>
      <c r="Z133" s="4">
        <f ca="1">IF(AND(SUM(W133:Y133)&gt;=0,SUM(AG133:AI133)=0),IF(AND(C133=$F$8,$F$29="yes"),-(W71-W40),0),0)</f>
        <v>0</v>
      </c>
      <c r="AA133" s="4">
        <f ca="1">IF(AND(SUM(W133:Y133)&gt;=0,SUM(AG133:AI133)=0),-K133-S133,0)</f>
        <v>0</v>
      </c>
      <c r="AB133" s="4">
        <f ca="1">-MIN(SUM(W133:AA133),0)</f>
        <v>0</v>
      </c>
      <c r="AC133" s="4">
        <f ca="1">AM133</f>
        <v>0</v>
      </c>
      <c r="AD133" s="4">
        <f ca="1">-SUM(W133:AC133)*IFERROR(IF(C133&lt;$F$8,IF($F$23="yes",M40/SUM(M40:$M$60),L40/SUM(L40:$L$60)),IF($F$23="yes",M71/SUM(M71:$M$91),L71/SUM(L71:$L$91))),0)</f>
        <v>-187104.93910155704</v>
      </c>
      <c r="AE133" s="4">
        <f t="shared" ref="AE133:AE152" ca="1" si="125">SUM(W133:AD133)</f>
        <v>2045656.4326033245</v>
      </c>
      <c r="AF133" s="124"/>
      <c r="AG133" s="63">
        <f t="shared" ref="AG133:AG152" si="126">IF(C133=1,0,AO132)</f>
        <v>0</v>
      </c>
      <c r="AH133" s="4">
        <f t="shared" ref="AH133:AH152" ca="1" si="127">IF($C133=1,F133+P133+X133,0)</f>
        <v>0</v>
      </c>
      <c r="AI133" s="63">
        <f ca="1">SUM(AG133:AH133)*((1+IF($C133&lt;=$F$8,$F$17,$G$17))^(1/4)-1)</f>
        <v>0</v>
      </c>
      <c r="AJ133" s="63">
        <f>IF(AND(C133=$F$8,$F$29="yes"),(W71-W40)+Z133,0)</f>
        <v>0</v>
      </c>
      <c r="AK133" s="4">
        <f ca="1">K133+S133+AA133</f>
        <v>0</v>
      </c>
      <c r="AL133" s="4">
        <f ca="1">AB133</f>
        <v>0</v>
      </c>
      <c r="AM133" s="4">
        <f ca="1">-MIN(SUM(AG133:AK133),0)</f>
        <v>0</v>
      </c>
      <c r="AN133" s="4">
        <f ca="1">-SUM(AG133:AM133)*IFERROR(IF(C133&lt;$F$8,IF($F$23="yes",M40/SUM(M40:$M$60),L40/SUM(L40:$L$60)),IF($F$23="yes",M71/SUM(M71:$M$91),L71/SUM(L71:$L$91))),0)</f>
        <v>0</v>
      </c>
      <c r="AO133" s="4">
        <f t="shared" ref="AO133:AO152" ca="1" si="128">SUM(AG133:AN133)</f>
        <v>0</v>
      </c>
      <c r="AP133" s="124"/>
      <c r="AQ133" s="70"/>
      <c r="AR133" s="70"/>
      <c r="AS133" s="70"/>
      <c r="AU133" s="125"/>
      <c r="AV133" s="4"/>
      <c r="AX133" s="126"/>
      <c r="AZ133" s="4"/>
    </row>
    <row r="134" spans="1:52" s="2" customFormat="1" outlineLevel="1" x14ac:dyDescent="0.55000000000000004">
      <c r="A134" s="9"/>
      <c r="B134" s="1" t="s">
        <v>7</v>
      </c>
      <c r="C134" s="3">
        <v>2</v>
      </c>
      <c r="D134" s="13"/>
      <c r="E134" s="63">
        <f t="shared" ca="1" si="108"/>
        <v>-1389613.6613997919</v>
      </c>
      <c r="F134" s="63">
        <f t="shared" si="109"/>
        <v>0</v>
      </c>
      <c r="G134" s="63">
        <f t="shared" si="110"/>
        <v>425583.72405142913</v>
      </c>
      <c r="H134" s="63">
        <f t="shared" ca="1" si="111"/>
        <v>-4784.414613579891</v>
      </c>
      <c r="I134" s="63">
        <f t="shared" si="112"/>
        <v>-303073.64997833199</v>
      </c>
      <c r="J134" s="63">
        <f t="shared" ca="1" si="113"/>
        <v>0</v>
      </c>
      <c r="K134" s="63">
        <f t="shared" si="114"/>
        <v>0</v>
      </c>
      <c r="L134" s="63">
        <f t="shared" si="115"/>
        <v>0</v>
      </c>
      <c r="M134" s="63">
        <f t="shared" ca="1" si="116"/>
        <v>-1271888.0019402746</v>
      </c>
      <c r="N134" s="124"/>
      <c r="O134" s="63">
        <f t="shared" si="117"/>
        <v>177737.26930409065</v>
      </c>
      <c r="P134" s="63">
        <f t="shared" si="118"/>
        <v>0</v>
      </c>
      <c r="Q134" s="4">
        <f t="shared" si="119"/>
        <v>882.09790556430187</v>
      </c>
      <c r="R134" s="4">
        <f t="shared" ref="R134:R144" si="129">U134-SUM(S134:T134,O134:Q134)</f>
        <v>-15153.682498916605</v>
      </c>
      <c r="S134" s="4">
        <f t="shared" si="120"/>
        <v>0</v>
      </c>
      <c r="T134" s="63">
        <f t="shared" si="121"/>
        <v>0</v>
      </c>
      <c r="U134" s="4">
        <f t="shared" si="122"/>
        <v>163465.68471073834</v>
      </c>
      <c r="V134" s="124"/>
      <c r="W134" s="63">
        <f t="shared" ca="1" si="123"/>
        <v>2045656.4326033245</v>
      </c>
      <c r="X134" s="4">
        <f t="shared" si="124"/>
        <v>0</v>
      </c>
      <c r="Y134" s="4">
        <f t="shared" ref="Y134:Y144" ca="1" si="130">SUM(W134:X134)*((1+$F$17)^(1/4)-1)</f>
        <v>10152.452897294535</v>
      </c>
      <c r="Z134" s="4">
        <f t="shared" ref="Z134:Z152" ca="1" si="131">IF(AND(SUM(W134:Y134)&gt;=0,SUM(AG134:AI134)=0),IF(AND(C134=$F$8,$F$29="yes"),-(W72-W41),0),0)</f>
        <v>0</v>
      </c>
      <c r="AA134" s="4">
        <f t="shared" ref="AA134:AA152" ca="1" si="132">IF(AND(SUM(W134:Y134)&gt;=0,SUM(AG134:AI134)=0),-K134-S134,0)</f>
        <v>0</v>
      </c>
      <c r="AB134" s="4">
        <f t="shared" ref="AB134:AB152" ca="1" si="133">-MIN(SUM(W134:AA134),0)</f>
        <v>0</v>
      </c>
      <c r="AC134" s="4">
        <f t="shared" ref="AC134:AC152" ca="1" si="134">AM134</f>
        <v>0</v>
      </c>
      <c r="AD134" s="4">
        <f ca="1">-SUM(W134:AC134)*IFERROR(IF(C134&lt;$F$8,IF($F$23="yes",M41/SUM(M41:$M$60),L41/SUM(L41:$L$60)),IF($F$23="yes",M72/SUM(M72:$M$91),L72/SUM(L72:$L$91))),0)</f>
        <v>-176952.92615834784</v>
      </c>
      <c r="AE134" s="4">
        <f t="shared" ca="1" si="125"/>
        <v>1878855.9593422711</v>
      </c>
      <c r="AF134" s="124"/>
      <c r="AG134" s="63">
        <f t="shared" ca="1" si="126"/>
        <v>0</v>
      </c>
      <c r="AH134" s="4">
        <f t="shared" si="127"/>
        <v>0</v>
      </c>
      <c r="AI134" s="63">
        <f t="shared" ref="AI134:AI144" ca="1" si="135">SUM(AG134:AH134)*((1+IF($C134&lt;=$F$8,$F$17,$G$17))^(1/4)-1)</f>
        <v>0</v>
      </c>
      <c r="AJ134" s="63">
        <f t="shared" ref="AJ134:AJ152" si="136">IF(AND(C134=$F$8,$F$29="yes"),(W72-W41)+Z134,0)</f>
        <v>0</v>
      </c>
      <c r="AK134" s="4">
        <f t="shared" ref="AK134:AK152" ca="1" si="137">K134+S134+AA134</f>
        <v>0</v>
      </c>
      <c r="AL134" s="4">
        <f t="shared" ref="AL134:AL152" ca="1" si="138">AB134</f>
        <v>0</v>
      </c>
      <c r="AM134" s="4">
        <f t="shared" ref="AM134:AM152" ca="1" si="139">-MIN(SUM(AG134:AK134),0)</f>
        <v>0</v>
      </c>
      <c r="AN134" s="4">
        <f ca="1">-SUM(AG134:AM134)*IFERROR(IF(C134&lt;$F$8,IF($F$23="yes",M41/SUM(M41:$M$60),L41/SUM(L41:$L$60)),IF($F$23="yes",M72/SUM(M72:$M$91),L72/SUM(L72:$L$91))),0)</f>
        <v>0</v>
      </c>
      <c r="AO134" s="4">
        <f t="shared" ca="1" si="128"/>
        <v>0</v>
      </c>
      <c r="AP134" s="124"/>
      <c r="AQ134" s="70"/>
      <c r="AR134" s="70"/>
      <c r="AS134" s="70"/>
      <c r="AT134" s="22"/>
      <c r="AU134" s="125"/>
      <c r="AV134" s="45"/>
      <c r="AX134" s="126"/>
      <c r="AZ134" s="4"/>
    </row>
    <row r="135" spans="1:52" s="2" customFormat="1" outlineLevel="1" x14ac:dyDescent="0.55000000000000004">
      <c r="A135" s="9"/>
      <c r="B135" s="1" t="s">
        <v>8</v>
      </c>
      <c r="C135" s="3">
        <v>3</v>
      </c>
      <c r="D135" s="13"/>
      <c r="E135" s="63">
        <f t="shared" ca="1" si="108"/>
        <v>-1271888.0019402746</v>
      </c>
      <c r="F135" s="63">
        <f t="shared" si="109"/>
        <v>0</v>
      </c>
      <c r="G135" s="63">
        <f t="shared" si="110"/>
        <v>402492.23594996211</v>
      </c>
      <c r="H135" s="63">
        <f t="shared" ca="1" si="111"/>
        <v>-4314.751696643043</v>
      </c>
      <c r="I135" s="63">
        <f t="shared" si="112"/>
        <v>-287201.05027062766</v>
      </c>
      <c r="J135" s="63">
        <f t="shared" ca="1" si="113"/>
        <v>0</v>
      </c>
      <c r="K135" s="63">
        <f t="shared" si="114"/>
        <v>0</v>
      </c>
      <c r="L135" s="63">
        <f t="shared" si="115"/>
        <v>0</v>
      </c>
      <c r="M135" s="63">
        <f t="shared" ca="1" si="116"/>
        <v>-1160911.5679575831</v>
      </c>
      <c r="N135" s="124"/>
      <c r="O135" s="63">
        <f t="shared" si="117"/>
        <v>163465.68471073834</v>
      </c>
      <c r="P135" s="63">
        <f t="shared" si="118"/>
        <v>0</v>
      </c>
      <c r="Q135" s="4">
        <f t="shared" si="119"/>
        <v>811.26900778630443</v>
      </c>
      <c r="R135" s="4">
        <f t="shared" si="129"/>
        <v>-14360.05251353138</v>
      </c>
      <c r="S135" s="4">
        <f t="shared" si="120"/>
        <v>0</v>
      </c>
      <c r="T135" s="63">
        <f t="shared" si="121"/>
        <v>0</v>
      </c>
      <c r="U135" s="4">
        <f t="shared" si="122"/>
        <v>149916.90120499325</v>
      </c>
      <c r="V135" s="124"/>
      <c r="W135" s="63">
        <f t="shared" ca="1" si="123"/>
        <v>1878855.9593422711</v>
      </c>
      <c r="X135" s="4">
        <f t="shared" si="124"/>
        <v>0</v>
      </c>
      <c r="Y135" s="4">
        <f t="shared" ca="1" si="130"/>
        <v>9324.6335621219132</v>
      </c>
      <c r="Z135" s="4">
        <f t="shared" ca="1" si="131"/>
        <v>0</v>
      </c>
      <c r="AA135" s="4">
        <f t="shared" ca="1" si="132"/>
        <v>0</v>
      </c>
      <c r="AB135" s="4">
        <f t="shared" ca="1" si="133"/>
        <v>0</v>
      </c>
      <c r="AC135" s="4">
        <f t="shared" ca="1" si="134"/>
        <v>0</v>
      </c>
      <c r="AD135" s="4">
        <f ca="1">-SUM(W135:AC135)*IFERROR(IF(C135&lt;$F$8,IF($F$23="yes",M42/SUM(M42:$M$60),L42/SUM(L42:$L$60)),IF($F$23="yes",M73/SUM(M73:$M$91),L73/SUM(L73:$L$91))),0)</f>
        <v>-167351.745102816</v>
      </c>
      <c r="AE135" s="4">
        <f t="shared" ca="1" si="125"/>
        <v>1720828.8478015771</v>
      </c>
      <c r="AF135" s="124"/>
      <c r="AG135" s="63">
        <f t="shared" ca="1" si="126"/>
        <v>0</v>
      </c>
      <c r="AH135" s="4">
        <f t="shared" si="127"/>
        <v>0</v>
      </c>
      <c r="AI135" s="63">
        <f t="shared" ca="1" si="135"/>
        <v>0</v>
      </c>
      <c r="AJ135" s="63">
        <f t="shared" si="136"/>
        <v>0</v>
      </c>
      <c r="AK135" s="4">
        <f t="shared" ca="1" si="137"/>
        <v>0</v>
      </c>
      <c r="AL135" s="4">
        <f t="shared" ca="1" si="138"/>
        <v>0</v>
      </c>
      <c r="AM135" s="4">
        <f t="shared" ca="1" si="139"/>
        <v>0</v>
      </c>
      <c r="AN135" s="4">
        <f ca="1">-SUM(AG135:AM135)*IFERROR(IF(C135&lt;$F$8,IF($F$23="yes",M42/SUM(M42:$M$60),L42/SUM(L42:$L$60)),IF($F$23="yes",M73/SUM(M73:$M$91),L73/SUM(L73:$L$91))),0)</f>
        <v>0</v>
      </c>
      <c r="AO135" s="4">
        <f t="shared" ca="1" si="128"/>
        <v>0</v>
      </c>
      <c r="AP135" s="124"/>
      <c r="AQ135" s="70"/>
      <c r="AR135" s="70"/>
      <c r="AS135" s="70"/>
      <c r="AT135" s="22"/>
      <c r="AU135" s="125"/>
      <c r="AX135" s="126"/>
      <c r="AZ135" s="4"/>
    </row>
    <row r="136" spans="1:52" s="2" customFormat="1" outlineLevel="1" x14ac:dyDescent="0.55000000000000004">
      <c r="A136" s="9"/>
      <c r="B136" s="1" t="s">
        <v>9</v>
      </c>
      <c r="C136" s="3">
        <v>4</v>
      </c>
      <c r="D136" s="13"/>
      <c r="E136" s="63">
        <f t="shared" ca="1" si="108"/>
        <v>-1160911.5679575831</v>
      </c>
      <c r="F136" s="63">
        <f t="shared" si="109"/>
        <v>0</v>
      </c>
      <c r="G136" s="63">
        <f t="shared" si="110"/>
        <v>380653.65483860305</v>
      </c>
      <c r="H136" s="63">
        <f t="shared" ca="1" si="111"/>
        <v>-3872.3666322603108</v>
      </c>
      <c r="I136" s="63">
        <f t="shared" si="112"/>
        <v>-272160</v>
      </c>
      <c r="J136" s="63">
        <f t="shared" ca="1" si="113"/>
        <v>0</v>
      </c>
      <c r="K136" s="63">
        <f t="shared" si="114"/>
        <v>0</v>
      </c>
      <c r="L136" s="63">
        <f t="shared" si="115"/>
        <v>0</v>
      </c>
      <c r="M136" s="63">
        <f t="shared" ca="1" si="116"/>
        <v>-1056290.2797512403</v>
      </c>
      <c r="N136" s="124"/>
      <c r="O136" s="63">
        <f t="shared" si="117"/>
        <v>149916.90120499325</v>
      </c>
      <c r="P136" s="63">
        <f t="shared" si="118"/>
        <v>0</v>
      </c>
      <c r="Q136" s="4">
        <f t="shared" si="119"/>
        <v>744.02732234713903</v>
      </c>
      <c r="R136" s="4">
        <f t="shared" si="129"/>
        <v>-13607.999999999971</v>
      </c>
      <c r="S136" s="4">
        <f t="shared" si="120"/>
        <v>0</v>
      </c>
      <c r="T136" s="63">
        <f t="shared" si="121"/>
        <v>0</v>
      </c>
      <c r="U136" s="4">
        <f t="shared" si="122"/>
        <v>137052.92852734041</v>
      </c>
      <c r="V136" s="124"/>
      <c r="W136" s="63">
        <f t="shared" ca="1" si="123"/>
        <v>1720828.8478015771</v>
      </c>
      <c r="X136" s="4">
        <f t="shared" si="124"/>
        <v>0</v>
      </c>
      <c r="Y136" s="4">
        <f t="shared" ca="1" si="130"/>
        <v>8540.3558208344002</v>
      </c>
      <c r="Z136" s="4">
        <f t="shared" ca="1" si="131"/>
        <v>0</v>
      </c>
      <c r="AA136" s="4">
        <f t="shared" ca="1" si="132"/>
        <v>0</v>
      </c>
      <c r="AB136" s="4">
        <f t="shared" ca="1" si="133"/>
        <v>0</v>
      </c>
      <c r="AC136" s="4">
        <f t="shared" ca="1" si="134"/>
        <v>0</v>
      </c>
      <c r="AD136" s="4">
        <f ca="1">-SUM(W136:AC136)*IFERROR(IF(C136&lt;$F$8,IF($F$23="yes",M43/SUM(M43:$M$60),L43/SUM(L43:$L$60)),IF($F$23="yes",M74/SUM(M74:$M$91),L74/SUM(L74:$L$91))),0)</f>
        <v>-158271.50868302659</v>
      </c>
      <c r="AE136" s="4">
        <f t="shared" ca="1" si="125"/>
        <v>1571097.6949393849</v>
      </c>
      <c r="AF136" s="124"/>
      <c r="AG136" s="63">
        <f t="shared" ca="1" si="126"/>
        <v>0</v>
      </c>
      <c r="AH136" s="4">
        <f t="shared" si="127"/>
        <v>0</v>
      </c>
      <c r="AI136" s="63">
        <f t="shared" ca="1" si="135"/>
        <v>0</v>
      </c>
      <c r="AJ136" s="63">
        <f t="shared" si="136"/>
        <v>0</v>
      </c>
      <c r="AK136" s="4">
        <f t="shared" ca="1" si="137"/>
        <v>0</v>
      </c>
      <c r="AL136" s="4">
        <f t="shared" ca="1" si="138"/>
        <v>0</v>
      </c>
      <c r="AM136" s="4">
        <f t="shared" ca="1" si="139"/>
        <v>0</v>
      </c>
      <c r="AN136" s="4">
        <f ca="1">-SUM(AG136:AM136)*IFERROR(IF(C136&lt;$F$8,IF($F$23="yes",M43/SUM(M43:$M$60),L43/SUM(L43:$L$60)),IF($F$23="yes",M74/SUM(M74:$M$91),L74/SUM(L74:$L$91))),0)</f>
        <v>0</v>
      </c>
      <c r="AO136" s="4">
        <f t="shared" ca="1" si="128"/>
        <v>0</v>
      </c>
      <c r="AP136" s="124"/>
      <c r="AQ136" s="70"/>
      <c r="AR136" s="70"/>
      <c r="AS136" s="70"/>
      <c r="AT136" s="22"/>
      <c r="AU136" s="125"/>
      <c r="AX136" s="126"/>
      <c r="AZ136" s="4"/>
    </row>
    <row r="137" spans="1:52" s="55" customFormat="1" outlineLevel="1" x14ac:dyDescent="0.55000000000000004">
      <c r="A137" s="89"/>
      <c r="B137" s="1" t="s">
        <v>16</v>
      </c>
      <c r="C137" s="3">
        <v>5</v>
      </c>
      <c r="D137" s="119"/>
      <c r="E137" s="63">
        <f t="shared" ca="1" si="108"/>
        <v>-1056290.2797512403</v>
      </c>
      <c r="F137" s="63">
        <f t="shared" si="109"/>
        <v>0</v>
      </c>
      <c r="G137" s="63">
        <f t="shared" si="110"/>
        <v>360000</v>
      </c>
      <c r="H137" s="63">
        <f t="shared" ca="1" si="111"/>
        <v>-3455.6410134923517</v>
      </c>
      <c r="I137" s="63">
        <f t="shared" si="112"/>
        <v>-257906.92070812199</v>
      </c>
      <c r="J137" s="63">
        <f t="shared" ca="1" si="113"/>
        <v>0</v>
      </c>
      <c r="K137" s="63">
        <f t="shared" si="114"/>
        <v>0</v>
      </c>
      <c r="L137" s="63">
        <f t="shared" si="115"/>
        <v>0</v>
      </c>
      <c r="M137" s="63">
        <f t="shared" ca="1" si="116"/>
        <v>-957652.8414728546</v>
      </c>
      <c r="N137" s="124"/>
      <c r="O137" s="63">
        <f t="shared" si="117"/>
        <v>137052.92852734041</v>
      </c>
      <c r="P137" s="63">
        <f t="shared" si="118"/>
        <v>0</v>
      </c>
      <c r="Q137" s="51">
        <f t="shared" si="119"/>
        <v>680.18430618838443</v>
      </c>
      <c r="R137" s="51">
        <f t="shared" si="129"/>
        <v>-12895.346035406095</v>
      </c>
      <c r="S137" s="51">
        <f t="shared" si="120"/>
        <v>0</v>
      </c>
      <c r="T137" s="63">
        <f t="shared" si="121"/>
        <v>0</v>
      </c>
      <c r="U137" s="51">
        <f t="shared" si="122"/>
        <v>124837.76679812268</v>
      </c>
      <c r="V137" s="124"/>
      <c r="W137" s="63">
        <f t="shared" ca="1" si="123"/>
        <v>1571097.6949393849</v>
      </c>
      <c r="X137" s="51">
        <f t="shared" si="124"/>
        <v>0</v>
      </c>
      <c r="Y137" s="51">
        <f t="shared" ca="1" si="130"/>
        <v>7797.2503548024197</v>
      </c>
      <c r="Z137" s="4">
        <f t="shared" ca="1" si="131"/>
        <v>0</v>
      </c>
      <c r="AA137" s="4">
        <f t="shared" ca="1" si="132"/>
        <v>0</v>
      </c>
      <c r="AB137" s="4">
        <f t="shared" ca="1" si="133"/>
        <v>0</v>
      </c>
      <c r="AC137" s="4">
        <f t="shared" ca="1" si="134"/>
        <v>0</v>
      </c>
      <c r="AD137" s="4">
        <f ca="1">-SUM(W137:AC137)*IFERROR(IF(C137&lt;$F$8,IF($F$23="yes",M44/SUM(M44:$M$60),L44/SUM(L44:$L$60)),IF($F$23="yes",M75/SUM(M75:$M$91),L75/SUM(L75:$L$91))),0)</f>
        <v>-149683.95128124568</v>
      </c>
      <c r="AE137" s="51">
        <f t="shared" ca="1" si="125"/>
        <v>1429210.9940129416</v>
      </c>
      <c r="AF137" s="124"/>
      <c r="AG137" s="63">
        <f t="shared" ca="1" si="126"/>
        <v>0</v>
      </c>
      <c r="AH137" s="51">
        <f t="shared" si="127"/>
        <v>0</v>
      </c>
      <c r="AI137" s="63">
        <f t="shared" ca="1" si="135"/>
        <v>0</v>
      </c>
      <c r="AJ137" s="63">
        <f t="shared" si="136"/>
        <v>0</v>
      </c>
      <c r="AK137" s="4">
        <f t="shared" ca="1" si="137"/>
        <v>0</v>
      </c>
      <c r="AL137" s="4">
        <f t="shared" ca="1" si="138"/>
        <v>0</v>
      </c>
      <c r="AM137" s="4">
        <f t="shared" ca="1" si="139"/>
        <v>0</v>
      </c>
      <c r="AN137" s="4">
        <f ca="1">-SUM(AG137:AM137)*IFERROR(IF(C137&lt;$F$8,IF($F$23="yes",M44/SUM(M44:$M$60),L44/SUM(L44:$L$60)),IF($F$23="yes",M75/SUM(M75:$M$91),L75/SUM(L75:$L$91))),0)</f>
        <v>0</v>
      </c>
      <c r="AO137" s="51">
        <f t="shared" ca="1" si="128"/>
        <v>0</v>
      </c>
      <c r="AP137" s="124"/>
      <c r="AQ137" s="70"/>
      <c r="AR137" s="70"/>
      <c r="AS137" s="70"/>
      <c r="AT137" s="22"/>
      <c r="AU137" s="125"/>
      <c r="AX137" s="126"/>
      <c r="AY137" s="2"/>
      <c r="AZ137" s="4"/>
    </row>
    <row r="138" spans="1:52" s="2" customFormat="1" outlineLevel="1" x14ac:dyDescent="0.55000000000000004">
      <c r="A138" s="9"/>
      <c r="B138" s="1" t="s">
        <v>17</v>
      </c>
      <c r="C138" s="3">
        <v>6</v>
      </c>
      <c r="D138" s="13"/>
      <c r="E138" s="63">
        <f t="shared" ca="1" si="108"/>
        <v>-957652.8414728546</v>
      </c>
      <c r="F138" s="63">
        <f t="shared" si="109"/>
        <v>0</v>
      </c>
      <c r="G138" s="63">
        <f t="shared" si="110"/>
        <v>340466.97924114333</v>
      </c>
      <c r="H138" s="63">
        <f t="shared" ca="1" si="111"/>
        <v>-3063.0512022047837</v>
      </c>
      <c r="I138" s="63">
        <f t="shared" si="112"/>
        <v>-244400.51849935233</v>
      </c>
      <c r="J138" s="63">
        <f t="shared" ca="1" si="113"/>
        <v>0</v>
      </c>
      <c r="K138" s="63">
        <f t="shared" si="114"/>
        <v>0</v>
      </c>
      <c r="L138" s="63">
        <f t="shared" si="115"/>
        <v>0</v>
      </c>
      <c r="M138" s="63">
        <f t="shared" ca="1" si="116"/>
        <v>-864649.43193326844</v>
      </c>
      <c r="N138" s="124"/>
      <c r="O138" s="63">
        <f t="shared" si="117"/>
        <v>124837.76679812268</v>
      </c>
      <c r="P138" s="63">
        <f t="shared" si="118"/>
        <v>0</v>
      </c>
      <c r="Q138" s="4">
        <f t="shared" si="119"/>
        <v>619.56129437065886</v>
      </c>
      <c r="R138" s="4">
        <f>U138-SUM(S138:T138,O138:Q138)</f>
        <v>-12220.025924967602</v>
      </c>
      <c r="S138" s="4">
        <f t="shared" si="120"/>
        <v>0</v>
      </c>
      <c r="T138" s="63">
        <f t="shared" si="121"/>
        <v>0</v>
      </c>
      <c r="U138" s="4">
        <f t="shared" si="122"/>
        <v>113237.30216752575</v>
      </c>
      <c r="V138" s="124"/>
      <c r="W138" s="63">
        <f t="shared" ca="1" si="123"/>
        <v>1429210.9940129416</v>
      </c>
      <c r="X138" s="4">
        <f t="shared" si="124"/>
        <v>0</v>
      </c>
      <c r="Y138" s="4">
        <f t="shared" ca="1" si="130"/>
        <v>7093.076366956846</v>
      </c>
      <c r="Z138" s="4">
        <f t="shared" ca="1" si="131"/>
        <v>0</v>
      </c>
      <c r="AA138" s="4">
        <f t="shared" ca="1" si="132"/>
        <v>0</v>
      </c>
      <c r="AB138" s="4">
        <f t="shared" ca="1" si="133"/>
        <v>0</v>
      </c>
      <c r="AC138" s="4">
        <f t="shared" ca="1" si="134"/>
        <v>0</v>
      </c>
      <c r="AD138" s="4">
        <f ca="1">-SUM(W138:AC138)*IFERROR(IF(C138&lt;$F$8,IF($F$23="yes",M45/SUM(M45:$M$60),L45/SUM(L45:$L$60)),IF($F$23="yes",M76/SUM(M76:$M$91),L76/SUM(L76:$L$91))),0)</f>
        <v>-141562.3409266783</v>
      </c>
      <c r="AE138" s="4">
        <f t="shared" ca="1" si="125"/>
        <v>1294741.72945322</v>
      </c>
      <c r="AF138" s="124"/>
      <c r="AG138" s="63">
        <f t="shared" ca="1" si="126"/>
        <v>0</v>
      </c>
      <c r="AH138" s="4">
        <f t="shared" si="127"/>
        <v>0</v>
      </c>
      <c r="AI138" s="63">
        <f t="shared" ca="1" si="135"/>
        <v>0</v>
      </c>
      <c r="AJ138" s="63">
        <f t="shared" si="136"/>
        <v>0</v>
      </c>
      <c r="AK138" s="4">
        <f t="shared" ca="1" si="137"/>
        <v>0</v>
      </c>
      <c r="AL138" s="4">
        <f t="shared" ca="1" si="138"/>
        <v>0</v>
      </c>
      <c r="AM138" s="4">
        <f t="shared" ca="1" si="139"/>
        <v>0</v>
      </c>
      <c r="AN138" s="4">
        <f ca="1">-SUM(AG138:AM138)*IFERROR(IF(C138&lt;$F$8,IF($F$23="yes",M45/SUM(M45:$M$60),L45/SUM(L45:$L$60)),IF($F$23="yes",M76/SUM(M76:$M$91),L76/SUM(L76:$L$91))),0)</f>
        <v>0</v>
      </c>
      <c r="AO138" s="4">
        <f t="shared" ca="1" si="128"/>
        <v>0</v>
      </c>
      <c r="AP138" s="124"/>
      <c r="AQ138" s="70"/>
      <c r="AR138" s="70"/>
      <c r="AS138" s="70"/>
      <c r="AT138" s="22"/>
      <c r="AU138" s="125"/>
      <c r="AX138" s="126"/>
      <c r="AZ138" s="4"/>
    </row>
    <row r="139" spans="1:52" s="2" customFormat="1" outlineLevel="1" x14ac:dyDescent="0.55000000000000004">
      <c r="A139" s="9"/>
      <c r="B139" s="1" t="s">
        <v>18</v>
      </c>
      <c r="C139" s="3">
        <v>7</v>
      </c>
      <c r="D139" s="13"/>
      <c r="E139" s="63">
        <f t="shared" ca="1" si="108"/>
        <v>-864649.43193326844</v>
      </c>
      <c r="F139" s="63">
        <f t="shared" si="109"/>
        <v>0</v>
      </c>
      <c r="G139" s="63">
        <f t="shared" si="110"/>
        <v>321993.7887599697</v>
      </c>
      <c r="H139" s="63">
        <f t="shared" ca="1" si="111"/>
        <v>-2693.1628248819916</v>
      </c>
      <c r="I139" s="63">
        <f t="shared" si="112"/>
        <v>-231601.66423286084</v>
      </c>
      <c r="J139" s="63">
        <f t="shared" ca="1" si="113"/>
        <v>0</v>
      </c>
      <c r="K139" s="63">
        <f t="shared" ca="1" si="114"/>
        <v>-873526.97978669847</v>
      </c>
      <c r="L139" s="63">
        <f t="shared" ca="1" si="115"/>
        <v>-16730.09428261267</v>
      </c>
      <c r="M139" s="63">
        <f t="shared" ca="1" si="116"/>
        <v>-1667207.5443003527</v>
      </c>
      <c r="N139" s="124"/>
      <c r="O139" s="63">
        <f t="shared" si="117"/>
        <v>113237.30216752575</v>
      </c>
      <c r="P139" s="63">
        <f t="shared" si="118"/>
        <v>0</v>
      </c>
      <c r="Q139" s="4">
        <f t="shared" si="119"/>
        <v>561.98898219163505</v>
      </c>
      <c r="R139" s="4">
        <f t="shared" si="129"/>
        <v>-11580.083211643039</v>
      </c>
      <c r="S139" s="4">
        <f t="shared" si="120"/>
        <v>-29936.286297315091</v>
      </c>
      <c r="T139" s="63">
        <f t="shared" si="121"/>
        <v>1183.7040021738212</v>
      </c>
      <c r="U139" s="4">
        <f t="shared" si="122"/>
        <v>73466.625642933068</v>
      </c>
      <c r="V139" s="124"/>
      <c r="W139" s="63">
        <f t="shared" ca="1" si="123"/>
        <v>1294741.72945322</v>
      </c>
      <c r="X139" s="4">
        <f t="shared" si="124"/>
        <v>0</v>
      </c>
      <c r="Y139" s="4">
        <f t="shared" ca="1" si="130"/>
        <v>6425.7146082479057</v>
      </c>
      <c r="Z139" s="4">
        <f t="shared" ca="1" si="131"/>
        <v>69705.616150401824</v>
      </c>
      <c r="AA139" s="4">
        <f t="shared" ca="1" si="132"/>
        <v>903463.26608401351</v>
      </c>
      <c r="AB139" s="4">
        <f t="shared" ca="1" si="133"/>
        <v>0</v>
      </c>
      <c r="AC139" s="4">
        <f t="shared" ca="1" si="134"/>
        <v>0</v>
      </c>
      <c r="AD139" s="4">
        <f ca="1">-SUM(W139:AC139)*IFERROR(IF(C139&lt;$F$8,IF($F$23="yes",M46/SUM(M46:$M$60),L46/SUM(L46:$L$60)),IF($F$23="yes",M77/SUM(M77:$M$91),L77/SUM(L77:$L$91))),0)</f>
        <v>-182615.4578774501</v>
      </c>
      <c r="AE139" s="4">
        <f t="shared" ca="1" si="125"/>
        <v>2091720.8684184332</v>
      </c>
      <c r="AF139" s="124"/>
      <c r="AG139" s="63">
        <f t="shared" ca="1" si="126"/>
        <v>0</v>
      </c>
      <c r="AH139" s="4">
        <f t="shared" si="127"/>
        <v>0</v>
      </c>
      <c r="AI139" s="63">
        <f t="shared" ca="1" si="135"/>
        <v>0</v>
      </c>
      <c r="AJ139" s="63">
        <f t="shared" ca="1" si="136"/>
        <v>0</v>
      </c>
      <c r="AK139" s="4">
        <f t="shared" ca="1" si="137"/>
        <v>0</v>
      </c>
      <c r="AL139" s="4">
        <f t="shared" ca="1" si="138"/>
        <v>0</v>
      </c>
      <c r="AM139" s="4">
        <f t="shared" ca="1" si="139"/>
        <v>0</v>
      </c>
      <c r="AN139" s="4">
        <f ca="1">-SUM(AG139:AM139)*IFERROR(IF(C139&lt;$F$8,IF($F$23="yes",M46/SUM(M46:$M$60),L46/SUM(L46:$L$60)),IF($F$23="yes",M77/SUM(M77:$M$91),L77/SUM(L77:$L$91))),0)</f>
        <v>0</v>
      </c>
      <c r="AO139" s="4">
        <f t="shared" ca="1" si="128"/>
        <v>0</v>
      </c>
      <c r="AP139" s="124"/>
      <c r="AQ139" s="70"/>
      <c r="AR139" s="70"/>
      <c r="AS139" s="70"/>
      <c r="AT139" s="22"/>
      <c r="AU139" s="125"/>
      <c r="AX139" s="126"/>
      <c r="AZ139" s="4"/>
    </row>
    <row r="140" spans="1:52" s="2" customFormat="1" outlineLevel="1" x14ac:dyDescent="0.55000000000000004">
      <c r="A140" s="9"/>
      <c r="B140" s="1" t="s">
        <v>19</v>
      </c>
      <c r="C140" s="3">
        <v>8</v>
      </c>
      <c r="D140" s="13"/>
      <c r="E140" s="63">
        <f t="shared" ca="1" si="108"/>
        <v>-1667207.5443003527</v>
      </c>
      <c r="F140" s="63">
        <f t="shared" si="109"/>
        <v>0</v>
      </c>
      <c r="G140" s="63">
        <f t="shared" si="110"/>
        <v>374228.54002128431</v>
      </c>
      <c r="H140" s="63">
        <f t="shared" ca="1" si="111"/>
        <v>-3220.396059809395</v>
      </c>
      <c r="I140" s="63">
        <f t="shared" si="112"/>
        <v>-221902.47280464222</v>
      </c>
      <c r="J140" s="63">
        <f t="shared" ca="1" si="113"/>
        <v>0</v>
      </c>
      <c r="K140" s="63">
        <f t="shared" si="114"/>
        <v>0</v>
      </c>
      <c r="L140" s="63">
        <f t="shared" si="115"/>
        <v>0</v>
      </c>
      <c r="M140" s="63">
        <f t="shared" ca="1" si="116"/>
        <v>-1518101.8731435202</v>
      </c>
      <c r="N140" s="124"/>
      <c r="O140" s="63">
        <f t="shared" si="117"/>
        <v>73466.625642933068</v>
      </c>
      <c r="P140" s="63">
        <f t="shared" si="118"/>
        <v>0</v>
      </c>
      <c r="Q140" s="4">
        <f t="shared" si="119"/>
        <v>182.98180478182698</v>
      </c>
      <c r="R140" s="4">
        <f t="shared" si="129"/>
        <v>-6657.0741841392592</v>
      </c>
      <c r="S140" s="4">
        <f t="shared" si="120"/>
        <v>0</v>
      </c>
      <c r="T140" s="63">
        <f t="shared" si="121"/>
        <v>0</v>
      </c>
      <c r="U140" s="4">
        <f t="shared" si="122"/>
        <v>66992.533263575635</v>
      </c>
      <c r="V140" s="124"/>
      <c r="W140" s="63">
        <f t="shared" ca="1" si="123"/>
        <v>2091720.8684184332</v>
      </c>
      <c r="X140" s="4">
        <f t="shared" si="124"/>
        <v>0</v>
      </c>
      <c r="Y140" s="4">
        <f t="shared" ca="1" si="130"/>
        <v>10381.067540203159</v>
      </c>
      <c r="Z140" s="4">
        <f t="shared" ca="1" si="131"/>
        <v>0</v>
      </c>
      <c r="AA140" s="4">
        <f t="shared" ca="1" si="132"/>
        <v>0</v>
      </c>
      <c r="AB140" s="4">
        <f t="shared" ca="1" si="133"/>
        <v>0</v>
      </c>
      <c r="AC140" s="4">
        <f t="shared" ca="1" si="134"/>
        <v>0</v>
      </c>
      <c r="AD140" s="4">
        <f ca="1">-SUM(W140:AC140)*IFERROR(IF(C140&lt;$F$8,IF($F$23="yes",M47/SUM(M47:$M$60),L47/SUM(L47:$L$60)),IF($F$23="yes",M78/SUM(M78:$M$91),L78/SUM(L78:$L$91))),0)</f>
        <v>-193764.6136964279</v>
      </c>
      <c r="AE140" s="4">
        <f t="shared" ca="1" si="125"/>
        <v>1908337.3222622084</v>
      </c>
      <c r="AF140" s="124"/>
      <c r="AG140" s="63">
        <f t="shared" ca="1" si="126"/>
        <v>0</v>
      </c>
      <c r="AH140" s="4">
        <f t="shared" si="127"/>
        <v>0</v>
      </c>
      <c r="AI140" s="63">
        <f t="shared" ca="1" si="135"/>
        <v>0</v>
      </c>
      <c r="AJ140" s="63">
        <f t="shared" si="136"/>
        <v>0</v>
      </c>
      <c r="AK140" s="4">
        <f t="shared" ca="1" si="137"/>
        <v>0</v>
      </c>
      <c r="AL140" s="4">
        <f t="shared" ca="1" si="138"/>
        <v>0</v>
      </c>
      <c r="AM140" s="4">
        <f t="shared" ca="1" si="139"/>
        <v>0</v>
      </c>
      <c r="AN140" s="4">
        <f ca="1">-SUM(AG140:AM140)*IFERROR(IF(C140&lt;$F$8,IF($F$23="yes",M47/SUM(M47:$M$60),L47/SUM(L47:$L$60)),IF($F$23="yes",M78/SUM(M78:$M$91),L78/SUM(L78:$L$91))),0)</f>
        <v>0</v>
      </c>
      <c r="AO140" s="4">
        <f t="shared" ca="1" si="128"/>
        <v>0</v>
      </c>
      <c r="AP140" s="124"/>
      <c r="AQ140" s="70"/>
      <c r="AR140" s="70"/>
      <c r="AS140" s="70"/>
      <c r="AT140" s="22"/>
      <c r="AU140" s="125"/>
      <c r="AX140" s="126"/>
      <c r="AZ140" s="4"/>
    </row>
    <row r="141" spans="1:52" s="2" customFormat="1" outlineLevel="1" x14ac:dyDescent="0.55000000000000004">
      <c r="A141" s="9"/>
      <c r="B141" s="1" t="s">
        <v>20</v>
      </c>
      <c r="C141" s="3">
        <v>9</v>
      </c>
      <c r="D141" s="13"/>
      <c r="E141" s="63">
        <f t="shared" ca="1" si="108"/>
        <v>-1518101.8731435202</v>
      </c>
      <c r="F141" s="63">
        <f t="shared" si="109"/>
        <v>0</v>
      </c>
      <c r="G141" s="63">
        <f t="shared" si="110"/>
        <v>364500</v>
      </c>
      <c r="H141" s="63">
        <f t="shared" ca="1" si="111"/>
        <v>-2873.2523224006632</v>
      </c>
      <c r="I141" s="63">
        <f t="shared" si="112"/>
        <v>-216359.2069825833</v>
      </c>
      <c r="J141" s="63">
        <f t="shared" ca="1" si="113"/>
        <v>0</v>
      </c>
      <c r="K141" s="63">
        <f t="shared" si="114"/>
        <v>0</v>
      </c>
      <c r="L141" s="63">
        <f t="shared" si="115"/>
        <v>0</v>
      </c>
      <c r="M141" s="63">
        <f t="shared" ca="1" si="116"/>
        <v>-1372834.3324485042</v>
      </c>
      <c r="N141" s="124"/>
      <c r="O141" s="63">
        <f t="shared" si="117"/>
        <v>66992.533263575635</v>
      </c>
      <c r="P141" s="63">
        <f t="shared" si="118"/>
        <v>0</v>
      </c>
      <c r="Q141" s="4">
        <f t="shared" si="119"/>
        <v>166.8569168135574</v>
      </c>
      <c r="R141" s="4">
        <f t="shared" si="129"/>
        <v>-6490.7762094775026</v>
      </c>
      <c r="S141" s="4">
        <f t="shared" si="120"/>
        <v>0</v>
      </c>
      <c r="T141" s="63">
        <f t="shared" si="121"/>
        <v>0</v>
      </c>
      <c r="U141" s="4">
        <f t="shared" si="122"/>
        <v>60668.613970911691</v>
      </c>
      <c r="V141" s="124"/>
      <c r="W141" s="63">
        <f t="shared" ca="1" si="123"/>
        <v>1908337.3222622084</v>
      </c>
      <c r="X141" s="4">
        <f t="shared" si="124"/>
        <v>0</v>
      </c>
      <c r="Y141" s="4">
        <f t="shared" ca="1" si="130"/>
        <v>9470.9475489783508</v>
      </c>
      <c r="Z141" s="4">
        <f t="shared" ca="1" si="131"/>
        <v>0</v>
      </c>
      <c r="AA141" s="4">
        <f t="shared" ca="1" si="132"/>
        <v>0</v>
      </c>
      <c r="AB141" s="4">
        <f t="shared" ca="1" si="133"/>
        <v>0</v>
      </c>
      <c r="AC141" s="4">
        <f t="shared" ca="1" si="134"/>
        <v>0</v>
      </c>
      <c r="AD141" s="4">
        <f ca="1">-SUM(W141:AC141)*IFERROR(IF(C141&lt;$F$8,IF($F$23="yes",M48/SUM(M48:$M$60),L48/SUM(L48:$L$60)),IF($F$23="yes",M79/SUM(M79:$M$91),L79/SUM(L79:$L$91))),0)</f>
        <v>-188727.45966497119</v>
      </c>
      <c r="AE141" s="4">
        <f t="shared" ca="1" si="125"/>
        <v>1729080.8101462156</v>
      </c>
      <c r="AF141" s="124"/>
      <c r="AG141" s="63">
        <f t="shared" ca="1" si="126"/>
        <v>0</v>
      </c>
      <c r="AH141" s="4">
        <f t="shared" si="127"/>
        <v>0</v>
      </c>
      <c r="AI141" s="63">
        <f t="shared" ca="1" si="135"/>
        <v>0</v>
      </c>
      <c r="AJ141" s="63">
        <f t="shared" si="136"/>
        <v>0</v>
      </c>
      <c r="AK141" s="4">
        <f t="shared" ca="1" si="137"/>
        <v>0</v>
      </c>
      <c r="AL141" s="4">
        <f t="shared" ca="1" si="138"/>
        <v>0</v>
      </c>
      <c r="AM141" s="4">
        <f t="shared" ca="1" si="139"/>
        <v>0</v>
      </c>
      <c r="AN141" s="4">
        <f ca="1">-SUM(AG141:AM141)*IFERROR(IF(C141&lt;$F$8,IF($F$23="yes",M48/SUM(M48:$M$60),L48/SUM(L48:$L$60)),IF($F$23="yes",M79/SUM(M79:$M$91),L79/SUM(L79:$L$91))),0)</f>
        <v>0</v>
      </c>
      <c r="AO141" s="4">
        <f t="shared" ca="1" si="128"/>
        <v>0</v>
      </c>
      <c r="AP141" s="124"/>
      <c r="AQ141" s="70"/>
      <c r="AR141" s="70"/>
      <c r="AS141" s="70"/>
      <c r="AT141" s="22"/>
      <c r="AU141" s="125"/>
      <c r="AX141" s="126"/>
      <c r="AZ141" s="4"/>
    </row>
    <row r="142" spans="1:52" s="2" customFormat="1" outlineLevel="1" x14ac:dyDescent="0.55000000000000004">
      <c r="A142" s="9"/>
      <c r="B142" s="1" t="s">
        <v>21</v>
      </c>
      <c r="C142" s="3">
        <v>10</v>
      </c>
      <c r="D142" s="13"/>
      <c r="E142" s="63">
        <f t="shared" ca="1" si="108"/>
        <v>-1372834.3324485042</v>
      </c>
      <c r="F142" s="63">
        <f t="shared" si="109"/>
        <v>0</v>
      </c>
      <c r="G142" s="63">
        <f t="shared" si="110"/>
        <v>355024.3655720207</v>
      </c>
      <c r="H142" s="63">
        <f t="shared" ca="1" si="111"/>
        <v>-2535.0382304091222</v>
      </c>
      <c r="I142" s="63">
        <f t="shared" si="112"/>
        <v>-210954.46047597076</v>
      </c>
      <c r="J142" s="63">
        <f t="shared" ca="1" si="113"/>
        <v>0</v>
      </c>
      <c r="K142" s="63">
        <f t="shared" si="114"/>
        <v>0</v>
      </c>
      <c r="L142" s="63">
        <f t="shared" si="115"/>
        <v>0</v>
      </c>
      <c r="M142" s="63">
        <f t="shared" ca="1" si="116"/>
        <v>-1231299.4655828634</v>
      </c>
      <c r="N142" s="124"/>
      <c r="O142" s="63">
        <f t="shared" si="117"/>
        <v>60668.613970911691</v>
      </c>
      <c r="P142" s="63">
        <f t="shared" si="118"/>
        <v>0</v>
      </c>
      <c r="Q142" s="4">
        <f t="shared" si="119"/>
        <v>151.10606184588306</v>
      </c>
      <c r="R142" s="4">
        <f t="shared" si="129"/>
        <v>-6328.6338142791137</v>
      </c>
      <c r="S142" s="4">
        <f t="shared" si="120"/>
        <v>0</v>
      </c>
      <c r="T142" s="63">
        <f t="shared" si="121"/>
        <v>0</v>
      </c>
      <c r="U142" s="4">
        <f t="shared" si="122"/>
        <v>54491.086218478456</v>
      </c>
      <c r="V142" s="124"/>
      <c r="W142" s="63">
        <f t="shared" ca="1" si="123"/>
        <v>1729080.8101462156</v>
      </c>
      <c r="X142" s="4">
        <f t="shared" si="124"/>
        <v>0</v>
      </c>
      <c r="Y142" s="4">
        <f t="shared" ca="1" si="130"/>
        <v>8581.3097452954953</v>
      </c>
      <c r="Z142" s="4">
        <f t="shared" ca="1" si="131"/>
        <v>0</v>
      </c>
      <c r="AA142" s="4">
        <f t="shared" ca="1" si="132"/>
        <v>0</v>
      </c>
      <c r="AB142" s="4">
        <f t="shared" ca="1" si="133"/>
        <v>0</v>
      </c>
      <c r="AC142" s="4">
        <f t="shared" ca="1" si="134"/>
        <v>0</v>
      </c>
      <c r="AD142" s="4">
        <f ca="1">-SUM(W142:AC142)*IFERROR(IF(C142&lt;$F$8,IF($F$23="yes",M49/SUM(M49:$M$60),L49/SUM(L49:$L$60)),IF($F$23="yes",M80/SUM(M80:$M$91),L80/SUM(L80:$L$91))),0)</f>
        <v>-183821.252767011</v>
      </c>
      <c r="AE142" s="4">
        <f t="shared" ca="1" si="125"/>
        <v>1553840.8671245</v>
      </c>
      <c r="AF142" s="124"/>
      <c r="AG142" s="63">
        <f t="shared" ca="1" si="126"/>
        <v>0</v>
      </c>
      <c r="AH142" s="4">
        <f t="shared" si="127"/>
        <v>0</v>
      </c>
      <c r="AI142" s="63">
        <f t="shared" ca="1" si="135"/>
        <v>0</v>
      </c>
      <c r="AJ142" s="63">
        <f t="shared" si="136"/>
        <v>0</v>
      </c>
      <c r="AK142" s="4">
        <f t="shared" ca="1" si="137"/>
        <v>0</v>
      </c>
      <c r="AL142" s="4">
        <f t="shared" ca="1" si="138"/>
        <v>0</v>
      </c>
      <c r="AM142" s="4">
        <f t="shared" ca="1" si="139"/>
        <v>0</v>
      </c>
      <c r="AN142" s="4">
        <f ca="1">-SUM(AG142:AM142)*IFERROR(IF(C142&lt;$F$8,IF($F$23="yes",M49/SUM(M49:$M$60),L49/SUM(L49:$L$60)),IF($F$23="yes",M80/SUM(M80:$M$91),L80/SUM(L80:$L$91))),0)</f>
        <v>0</v>
      </c>
      <c r="AO142" s="4">
        <f t="shared" ca="1" si="128"/>
        <v>0</v>
      </c>
      <c r="AP142" s="124"/>
      <c r="AQ142" s="70"/>
      <c r="AR142" s="70"/>
      <c r="AS142" s="70"/>
      <c r="AT142" s="22"/>
      <c r="AU142" s="125"/>
      <c r="AX142" s="126"/>
      <c r="AZ142" s="4"/>
    </row>
    <row r="143" spans="1:52" s="2" customFormat="1" outlineLevel="1" x14ac:dyDescent="0.55000000000000004">
      <c r="A143" s="9"/>
      <c r="B143" s="1" t="s">
        <v>22</v>
      </c>
      <c r="C143" s="3">
        <v>11</v>
      </c>
      <c r="D143" s="13"/>
      <c r="E143" s="63">
        <f t="shared" ca="1" si="108"/>
        <v>-1231299.4655828634</v>
      </c>
      <c r="F143" s="63">
        <f t="shared" si="109"/>
        <v>0</v>
      </c>
      <c r="G143" s="63">
        <f t="shared" si="110"/>
        <v>345795.06213941233</v>
      </c>
      <c r="H143" s="63">
        <f t="shared" ca="1" si="111"/>
        <v>-2205.5075003968673</v>
      </c>
      <c r="I143" s="63">
        <f t="shared" si="112"/>
        <v>-205684.77069933031</v>
      </c>
      <c r="J143" s="63">
        <f t="shared" ca="1" si="113"/>
        <v>0</v>
      </c>
      <c r="K143" s="63">
        <f t="shared" si="114"/>
        <v>0</v>
      </c>
      <c r="L143" s="63">
        <f t="shared" si="115"/>
        <v>0</v>
      </c>
      <c r="M143" s="63">
        <f t="shared" ca="1" si="116"/>
        <v>-1093394.6816431782</v>
      </c>
      <c r="N143" s="124"/>
      <c r="O143" s="63">
        <f t="shared" si="117"/>
        <v>54491.086218478456</v>
      </c>
      <c r="P143" s="63">
        <f t="shared" si="118"/>
        <v>0</v>
      </c>
      <c r="Q143" s="4">
        <f t="shared" si="119"/>
        <v>135.71982125925297</v>
      </c>
      <c r="R143" s="4">
        <f t="shared" si="129"/>
        <v>-6170.5431209799208</v>
      </c>
      <c r="S143" s="4">
        <f t="shared" si="120"/>
        <v>0</v>
      </c>
      <c r="T143" s="63">
        <f t="shared" si="121"/>
        <v>0</v>
      </c>
      <c r="U143" s="4">
        <f t="shared" si="122"/>
        <v>48456.262918757791</v>
      </c>
      <c r="V143" s="124"/>
      <c r="W143" s="63">
        <f t="shared" ca="1" si="123"/>
        <v>1553840.8671245</v>
      </c>
      <c r="X143" s="4">
        <f t="shared" si="124"/>
        <v>0</v>
      </c>
      <c r="Y143" s="4">
        <f t="shared" ca="1" si="130"/>
        <v>7711.6058991865848</v>
      </c>
      <c r="Z143" s="4">
        <f t="shared" ca="1" si="131"/>
        <v>0</v>
      </c>
      <c r="AA143" s="4">
        <f t="shared" ca="1" si="132"/>
        <v>0</v>
      </c>
      <c r="AB143" s="4">
        <f t="shared" ca="1" si="133"/>
        <v>0</v>
      </c>
      <c r="AC143" s="4">
        <f t="shared" ca="1" si="134"/>
        <v>0</v>
      </c>
      <c r="AD143" s="4">
        <f ca="1">-SUM(W143:AC143)*IFERROR(IF(C143&lt;$F$8,IF($F$23="yes",M50/SUM(M50:$M$60),L50/SUM(L50:$L$60)),IF($F$23="yes",M81/SUM(M81:$M$91),L81/SUM(L81:$L$91))),0)</f>
        <v>-179042.58886766018</v>
      </c>
      <c r="AE143" s="4">
        <f t="shared" ca="1" si="125"/>
        <v>1382509.8841560264</v>
      </c>
      <c r="AF143" s="124"/>
      <c r="AG143" s="63">
        <f t="shared" ca="1" si="126"/>
        <v>0</v>
      </c>
      <c r="AH143" s="4">
        <f t="shared" si="127"/>
        <v>0</v>
      </c>
      <c r="AI143" s="63">
        <f t="shared" ca="1" si="135"/>
        <v>0</v>
      </c>
      <c r="AJ143" s="63">
        <f t="shared" si="136"/>
        <v>0</v>
      </c>
      <c r="AK143" s="4">
        <f t="shared" ca="1" si="137"/>
        <v>0</v>
      </c>
      <c r="AL143" s="4">
        <f t="shared" ca="1" si="138"/>
        <v>0</v>
      </c>
      <c r="AM143" s="4">
        <f t="shared" ca="1" si="139"/>
        <v>0</v>
      </c>
      <c r="AN143" s="4">
        <f ca="1">-SUM(AG143:AM143)*IFERROR(IF(C143&lt;$F$8,IF($F$23="yes",M50/SUM(M50:$M$60),L50/SUM(L50:$L$60)),IF($F$23="yes",M81/SUM(M81:$M$91),L81/SUM(L81:$L$91))),0)</f>
        <v>0</v>
      </c>
      <c r="AO143" s="4">
        <f t="shared" ca="1" si="128"/>
        <v>0</v>
      </c>
      <c r="AP143" s="124"/>
      <c r="AQ143" s="70"/>
      <c r="AR143" s="70"/>
      <c r="AS143" s="70"/>
      <c r="AT143" s="22"/>
      <c r="AU143" s="125"/>
      <c r="AX143" s="126"/>
      <c r="AZ143" s="4"/>
    </row>
    <row r="144" spans="1:52" s="2" customFormat="1" outlineLevel="1" x14ac:dyDescent="0.55000000000000004">
      <c r="A144" s="9"/>
      <c r="B144" s="1" t="s">
        <v>23</v>
      </c>
      <c r="C144" s="3">
        <v>12</v>
      </c>
      <c r="D144" s="13"/>
      <c r="E144" s="63">
        <f t="shared" ca="1" si="108"/>
        <v>-1093394.6816431782</v>
      </c>
      <c r="F144" s="63">
        <f t="shared" si="109"/>
        <v>0</v>
      </c>
      <c r="G144" s="63">
        <f t="shared" si="110"/>
        <v>336805.6860191559</v>
      </c>
      <c r="H144" s="63">
        <f t="shared" ca="1" si="111"/>
        <v>-1884.4205608437451</v>
      </c>
      <c r="I144" s="63">
        <f t="shared" si="112"/>
        <v>-200546.76165179888</v>
      </c>
      <c r="J144" s="63">
        <f t="shared" ca="1" si="113"/>
        <v>0</v>
      </c>
      <c r="K144" s="63">
        <f t="shared" si="114"/>
        <v>0</v>
      </c>
      <c r="L144" s="63">
        <f t="shared" si="115"/>
        <v>0</v>
      </c>
      <c r="M144" s="63">
        <f t="shared" ca="1" si="116"/>
        <v>-959020.17783666495</v>
      </c>
      <c r="N144" s="124"/>
      <c r="O144" s="63">
        <f t="shared" si="117"/>
        <v>48456.262918757791</v>
      </c>
      <c r="P144" s="63">
        <f t="shared" si="118"/>
        <v>0</v>
      </c>
      <c r="Q144" s="4">
        <f t="shared" si="119"/>
        <v>120.68901170105559</v>
      </c>
      <c r="R144" s="4">
        <f t="shared" si="129"/>
        <v>-6016.4028495539606</v>
      </c>
      <c r="S144" s="4">
        <f t="shared" si="120"/>
        <v>0</v>
      </c>
      <c r="T144" s="63">
        <f t="shared" si="121"/>
        <v>0</v>
      </c>
      <c r="U144" s="4">
        <f t="shared" si="122"/>
        <v>42560.549080904886</v>
      </c>
      <c r="V144" s="124"/>
      <c r="W144" s="63">
        <f t="shared" ca="1" si="123"/>
        <v>1382509.8841560264</v>
      </c>
      <c r="X144" s="4">
        <f t="shared" si="124"/>
        <v>0</v>
      </c>
      <c r="Y144" s="4">
        <f t="shared" ca="1" si="130"/>
        <v>6861.3019543443015</v>
      </c>
      <c r="Z144" s="4">
        <f t="shared" ca="1" si="131"/>
        <v>0</v>
      </c>
      <c r="AA144" s="4">
        <f t="shared" ca="1" si="132"/>
        <v>0</v>
      </c>
      <c r="AB144" s="4">
        <f t="shared" ca="1" si="133"/>
        <v>0</v>
      </c>
      <c r="AC144" s="4">
        <f t="shared" ca="1" si="134"/>
        <v>0</v>
      </c>
      <c r="AD144" s="4">
        <f ca="1">-SUM(W144:AC144)*IFERROR(IF(C144&lt;$F$8,IF($F$23="yes",M51/SUM(M51:$M$60),L51/SUM(L51:$L$60)),IF($F$23="yes",M82/SUM(M82:$M$91),L82/SUM(L82:$L$91))),0)</f>
        <v>-174388.15232678517</v>
      </c>
      <c r="AE144" s="4">
        <f t="shared" ca="1" si="125"/>
        <v>1214983.0337835855</v>
      </c>
      <c r="AF144" s="124"/>
      <c r="AG144" s="63">
        <f t="shared" ca="1" si="126"/>
        <v>0</v>
      </c>
      <c r="AH144" s="4">
        <f t="shared" si="127"/>
        <v>0</v>
      </c>
      <c r="AI144" s="63">
        <f t="shared" ca="1" si="135"/>
        <v>0</v>
      </c>
      <c r="AJ144" s="63">
        <f t="shared" si="136"/>
        <v>0</v>
      </c>
      <c r="AK144" s="4">
        <f t="shared" ca="1" si="137"/>
        <v>0</v>
      </c>
      <c r="AL144" s="4">
        <f t="shared" ca="1" si="138"/>
        <v>0</v>
      </c>
      <c r="AM144" s="4">
        <f t="shared" ca="1" si="139"/>
        <v>0</v>
      </c>
      <c r="AN144" s="4">
        <f ca="1">-SUM(AG144:AM144)*IFERROR(IF(C144&lt;$F$8,IF($F$23="yes",M51/SUM(M51:$M$60),L51/SUM(L51:$L$60)),IF($F$23="yes",M82/SUM(M82:$M$91),L82/SUM(L82:$L$91))),0)</f>
        <v>0</v>
      </c>
      <c r="AO144" s="4">
        <f t="shared" ca="1" si="128"/>
        <v>0</v>
      </c>
      <c r="AP144" s="124"/>
      <c r="AQ144" s="70"/>
      <c r="AR144" s="70"/>
      <c r="AS144" s="70"/>
      <c r="AT144" s="22"/>
      <c r="AU144" s="125"/>
      <c r="AX144" s="126"/>
      <c r="AZ144" s="4"/>
    </row>
    <row r="145" spans="1:52" s="2" customFormat="1" outlineLevel="1" x14ac:dyDescent="0.55000000000000004">
      <c r="A145" s="9"/>
      <c r="B145" s="1" t="s">
        <v>24</v>
      </c>
      <c r="C145" s="3">
        <v>13</v>
      </c>
      <c r="D145" s="13"/>
      <c r="E145" s="63">
        <f t="shared" ref="E145:E152" ca="1" si="140">IF(C145=1,0,M144)</f>
        <v>-959020.17783666495</v>
      </c>
      <c r="F145" s="63">
        <f t="shared" si="109"/>
        <v>0</v>
      </c>
      <c r="G145" s="63">
        <f t="shared" si="110"/>
        <v>328050.00000000006</v>
      </c>
      <c r="H145" s="63">
        <f t="shared" ref="H145:H152" ca="1" si="141">SUM(E145:G145)*((1+IF($C145&lt;=$F$8,$F$17,$G$17))^(1/4)-1)</f>
        <v>-1571.5443698913</v>
      </c>
      <c r="I145" s="63">
        <f t="shared" si="112"/>
        <v>-195537.14175123913</v>
      </c>
      <c r="J145" s="63">
        <f t="shared" ca="1" si="113"/>
        <v>0</v>
      </c>
      <c r="K145" s="63">
        <f t="shared" si="114"/>
        <v>0</v>
      </c>
      <c r="L145" s="63">
        <f t="shared" si="115"/>
        <v>0</v>
      </c>
      <c r="M145" s="63">
        <f t="shared" ref="M145:M152" ca="1" si="142">SUM(E145:L145)</f>
        <v>-828078.86395779531</v>
      </c>
      <c r="N145" s="124"/>
      <c r="O145" s="63">
        <f t="shared" ref="O145:O152" si="143">IF(C145=1,0,U144)</f>
        <v>42560.549080904886</v>
      </c>
      <c r="P145" s="63">
        <f t="shared" si="118"/>
        <v>0</v>
      </c>
      <c r="Q145" s="4">
        <f t="shared" ref="Q145:Q152" si="144">SUM(O145:P145)*((1+IF($C145&lt;=$F$8,$F$17,$G$17))^(1/4)-1)</f>
        <v>106.00467920195857</v>
      </c>
      <c r="R145" s="4">
        <f t="shared" ref="R145:R152" si="145">U145-SUM(S145:T145,O145:Q145)</f>
        <v>-5866.1142525371833</v>
      </c>
      <c r="S145" s="4">
        <f t="shared" si="120"/>
        <v>0</v>
      </c>
      <c r="T145" s="63">
        <f t="shared" si="121"/>
        <v>0</v>
      </c>
      <c r="U145" s="4">
        <f t="shared" si="122"/>
        <v>36800.439507569659</v>
      </c>
      <c r="V145" s="124"/>
      <c r="W145" s="63">
        <f t="shared" ca="1" si="123"/>
        <v>1214983.0337835855</v>
      </c>
      <c r="X145" s="4">
        <f t="shared" ref="X145:X152" si="146">IF($C145=1,MAX(-F145-P145,0),0)</f>
        <v>0</v>
      </c>
      <c r="Y145" s="4">
        <f t="shared" ref="Y145:Y152" ca="1" si="147">SUM(W145:X145)*((1+$F$17)^(1/4)-1)</f>
        <v>6029.8776592715221</v>
      </c>
      <c r="Z145" s="4">
        <f t="shared" ca="1" si="131"/>
        <v>0</v>
      </c>
      <c r="AA145" s="4">
        <f t="shared" ca="1" si="132"/>
        <v>0</v>
      </c>
      <c r="AB145" s="4">
        <f t="shared" ca="1" si="133"/>
        <v>0</v>
      </c>
      <c r="AC145" s="4">
        <f t="shared" ca="1" si="134"/>
        <v>0</v>
      </c>
      <c r="AD145" s="4">
        <f ca="1">-SUM(W145:AC145)*IFERROR(IF(C145&lt;$F$8,IF($F$23="yes",M52/SUM(M52:$M$60),L52/SUM(L52:$L$60)),IF($F$23="yes",M83/SUM(M83:$M$91),L83/SUM(L83:$L$91))),0)</f>
        <v>-169854.71369847405</v>
      </c>
      <c r="AE145" s="4">
        <f t="shared" ca="1" si="125"/>
        <v>1051158.197744383</v>
      </c>
      <c r="AF145" s="124"/>
      <c r="AG145" s="63">
        <f t="shared" ca="1" si="126"/>
        <v>0</v>
      </c>
      <c r="AH145" s="4">
        <f t="shared" si="127"/>
        <v>0</v>
      </c>
      <c r="AI145" s="63">
        <f t="shared" ref="AI145:AI152" ca="1" si="148">SUM(AG145:AH145)*((1+IF($C145&lt;=$F$8,$F$17,$G$17))^(1/4)-1)</f>
        <v>0</v>
      </c>
      <c r="AJ145" s="63">
        <f t="shared" si="136"/>
        <v>0</v>
      </c>
      <c r="AK145" s="4">
        <f t="shared" ca="1" si="137"/>
        <v>0</v>
      </c>
      <c r="AL145" s="4">
        <f t="shared" ca="1" si="138"/>
        <v>0</v>
      </c>
      <c r="AM145" s="4">
        <f t="shared" ca="1" si="139"/>
        <v>0</v>
      </c>
      <c r="AN145" s="4">
        <f ca="1">-SUM(AG145:AM145)*IFERROR(IF(C145&lt;$F$8,IF($F$23="yes",M52/SUM(M52:$M$60),L52/SUM(L52:$L$60)),IF($F$23="yes",M83/SUM(M83:$M$91),L83/SUM(L83:$L$91))),0)</f>
        <v>0</v>
      </c>
      <c r="AO145" s="4">
        <f t="shared" ca="1" si="128"/>
        <v>0</v>
      </c>
      <c r="AP145" s="124"/>
      <c r="AQ145" s="70"/>
      <c r="AR145" s="70"/>
      <c r="AS145" s="70"/>
      <c r="AT145" s="22"/>
      <c r="AU145" s="125"/>
      <c r="AX145" s="126"/>
      <c r="AZ145" s="4"/>
    </row>
    <row r="146" spans="1:52" s="2" customFormat="1" outlineLevel="1" x14ac:dyDescent="0.55000000000000004">
      <c r="A146" s="9"/>
      <c r="B146" s="1" t="s">
        <v>25</v>
      </c>
      <c r="C146" s="3">
        <v>14</v>
      </c>
      <c r="D146" s="13"/>
      <c r="E146" s="63">
        <f t="shared" ca="1" si="140"/>
        <v>-828078.86395779531</v>
      </c>
      <c r="F146" s="63">
        <f t="shared" si="109"/>
        <v>0</v>
      </c>
      <c r="G146" s="63">
        <f t="shared" si="110"/>
        <v>319521.92901481857</v>
      </c>
      <c r="H146" s="63">
        <f t="shared" ca="1" si="141"/>
        <v>-1266.6522380170238</v>
      </c>
      <c r="I146" s="63">
        <f t="shared" si="112"/>
        <v>-190652.70172255277</v>
      </c>
      <c r="J146" s="63">
        <f t="shared" ca="1" si="113"/>
        <v>0</v>
      </c>
      <c r="K146" s="63">
        <f t="shared" si="114"/>
        <v>0</v>
      </c>
      <c r="L146" s="63">
        <f t="shared" si="115"/>
        <v>0</v>
      </c>
      <c r="M146" s="63">
        <f t="shared" ca="1" si="142"/>
        <v>-700476.28890354652</v>
      </c>
      <c r="N146" s="124"/>
      <c r="O146" s="63">
        <f t="shared" si="143"/>
        <v>36800.439507569659</v>
      </c>
      <c r="P146" s="63">
        <f t="shared" si="118"/>
        <v>0</v>
      </c>
      <c r="Q146" s="4">
        <f t="shared" si="144"/>
        <v>91.658093439429464</v>
      </c>
      <c r="R146" s="4">
        <f t="shared" si="145"/>
        <v>-5719.5810516765814</v>
      </c>
      <c r="S146" s="4">
        <f t="shared" si="120"/>
        <v>0</v>
      </c>
      <c r="T146" s="63">
        <f t="shared" si="121"/>
        <v>0</v>
      </c>
      <c r="U146" s="4">
        <f t="shared" si="122"/>
        <v>31172.516549332508</v>
      </c>
      <c r="V146" s="124"/>
      <c r="W146" s="63">
        <f t="shared" ca="1" si="123"/>
        <v>1051158.197744383</v>
      </c>
      <c r="X146" s="4">
        <f t="shared" si="146"/>
        <v>0</v>
      </c>
      <c r="Y146" s="4">
        <f t="shared" ca="1" si="147"/>
        <v>5216.8262080176246</v>
      </c>
      <c r="Z146" s="4">
        <f t="shared" ca="1" si="131"/>
        <v>0</v>
      </c>
      <c r="AA146" s="4">
        <f t="shared" ca="1" si="132"/>
        <v>0</v>
      </c>
      <c r="AB146" s="4">
        <f t="shared" ca="1" si="133"/>
        <v>0</v>
      </c>
      <c r="AC146" s="4">
        <f t="shared" ca="1" si="134"/>
        <v>0</v>
      </c>
      <c r="AD146" s="4">
        <f ca="1">-SUM(W146:AC146)*IFERROR(IF(C146&lt;$F$8,IF($F$23="yes",M53/SUM(M53:$M$60),L53/SUM(L53:$L$60)),IF($F$23="yes",M84/SUM(M84:$M$91),L84/SUM(L84:$L$91))),0)</f>
        <v>-165439.12749030988</v>
      </c>
      <c r="AE146" s="4">
        <f t="shared" ca="1" si="125"/>
        <v>890935.89646209066</v>
      </c>
      <c r="AF146" s="124"/>
      <c r="AG146" s="63">
        <f t="shared" ca="1" si="126"/>
        <v>0</v>
      </c>
      <c r="AH146" s="4">
        <f t="shared" si="127"/>
        <v>0</v>
      </c>
      <c r="AI146" s="63">
        <f t="shared" ca="1" si="148"/>
        <v>0</v>
      </c>
      <c r="AJ146" s="63">
        <f t="shared" si="136"/>
        <v>0</v>
      </c>
      <c r="AK146" s="4">
        <f t="shared" ca="1" si="137"/>
        <v>0</v>
      </c>
      <c r="AL146" s="4">
        <f t="shared" ca="1" si="138"/>
        <v>0</v>
      </c>
      <c r="AM146" s="4">
        <f t="shared" ca="1" si="139"/>
        <v>0</v>
      </c>
      <c r="AN146" s="4">
        <f ca="1">-SUM(AG146:AM146)*IFERROR(IF(C146&lt;$F$8,IF($F$23="yes",M53/SUM(M53:$M$60),L53/SUM(L53:$L$60)),IF($F$23="yes",M84/SUM(M84:$M$91),L84/SUM(L84:$L$91))),0)</f>
        <v>0</v>
      </c>
      <c r="AO146" s="4">
        <f t="shared" ca="1" si="128"/>
        <v>0</v>
      </c>
      <c r="AP146" s="124"/>
      <c r="AQ146" s="70"/>
      <c r="AR146" s="70"/>
      <c r="AS146" s="70"/>
      <c r="AT146" s="22"/>
      <c r="AU146" s="125"/>
      <c r="AX146" s="126"/>
      <c r="AZ146" s="4"/>
    </row>
    <row r="147" spans="1:52" s="2" customFormat="1" outlineLevel="1" x14ac:dyDescent="0.55000000000000004">
      <c r="A147" s="9"/>
      <c r="B147" s="1" t="s">
        <v>26</v>
      </c>
      <c r="C147" s="3">
        <v>15</v>
      </c>
      <c r="D147" s="13"/>
      <c r="E147" s="63">
        <f t="shared" ca="1" si="140"/>
        <v>-700476.28890354652</v>
      </c>
      <c r="F147" s="63">
        <f t="shared" si="109"/>
        <v>0</v>
      </c>
      <c r="G147" s="63">
        <f t="shared" si="110"/>
        <v>311215.55592547107</v>
      </c>
      <c r="H147" s="63">
        <f t="shared" ca="1" si="141"/>
        <v>-969.52365550596971</v>
      </c>
      <c r="I147" s="63">
        <f t="shared" si="112"/>
        <v>-185890.31253883563</v>
      </c>
      <c r="J147" s="63">
        <f t="shared" ca="1" si="113"/>
        <v>0</v>
      </c>
      <c r="K147" s="63">
        <f t="shared" si="114"/>
        <v>0</v>
      </c>
      <c r="L147" s="63">
        <f t="shared" si="115"/>
        <v>0</v>
      </c>
      <c r="M147" s="63">
        <f t="shared" ca="1" si="142"/>
        <v>-576120.56917241705</v>
      </c>
      <c r="N147" s="124"/>
      <c r="O147" s="63">
        <f t="shared" si="143"/>
        <v>31172.516549332508</v>
      </c>
      <c r="P147" s="63">
        <f t="shared" si="118"/>
        <v>0</v>
      </c>
      <c r="Q147" s="4">
        <f t="shared" si="144"/>
        <v>77.640742144755265</v>
      </c>
      <c r="R147" s="4">
        <f t="shared" si="145"/>
        <v>-5576.7093761650649</v>
      </c>
      <c r="S147" s="4">
        <f t="shared" si="120"/>
        <v>0</v>
      </c>
      <c r="T147" s="63">
        <f t="shared" si="121"/>
        <v>0</v>
      </c>
      <c r="U147" s="4">
        <f t="shared" si="122"/>
        <v>25673.447915312197</v>
      </c>
      <c r="V147" s="124"/>
      <c r="W147" s="63">
        <f t="shared" ca="1" si="123"/>
        <v>890935.89646209066</v>
      </c>
      <c r="X147" s="4">
        <f t="shared" si="146"/>
        <v>0</v>
      </c>
      <c r="Y147" s="4">
        <f t="shared" ca="1" si="147"/>
        <v>4421.6538902523607</v>
      </c>
      <c r="Z147" s="4">
        <f t="shared" ca="1" si="131"/>
        <v>0</v>
      </c>
      <c r="AA147" s="4">
        <f t="shared" ca="1" si="132"/>
        <v>0</v>
      </c>
      <c r="AB147" s="4">
        <f t="shared" ca="1" si="133"/>
        <v>0</v>
      </c>
      <c r="AC147" s="4">
        <f t="shared" ca="1" si="134"/>
        <v>0</v>
      </c>
      <c r="AD147" s="4">
        <f ca="1">-SUM(W147:AC147)*IFERROR(IF(C147&lt;$F$8,IF($F$23="yes",M54/SUM(M54:$M$60),L54/SUM(L54:$L$60)),IF($F$23="yes",M85/SUM(M85:$M$91),L85/SUM(L85:$L$91))),0)</f>
        <v>-161138.32998089411</v>
      </c>
      <c r="AE147" s="4">
        <f t="shared" ca="1" si="125"/>
        <v>734219.2203714489</v>
      </c>
      <c r="AF147" s="124"/>
      <c r="AG147" s="63">
        <f t="shared" ca="1" si="126"/>
        <v>0</v>
      </c>
      <c r="AH147" s="4">
        <f t="shared" si="127"/>
        <v>0</v>
      </c>
      <c r="AI147" s="63">
        <f t="shared" ca="1" si="148"/>
        <v>0</v>
      </c>
      <c r="AJ147" s="63">
        <f t="shared" si="136"/>
        <v>0</v>
      </c>
      <c r="AK147" s="4">
        <f t="shared" ca="1" si="137"/>
        <v>0</v>
      </c>
      <c r="AL147" s="4">
        <f t="shared" ca="1" si="138"/>
        <v>0</v>
      </c>
      <c r="AM147" s="4">
        <f t="shared" ca="1" si="139"/>
        <v>0</v>
      </c>
      <c r="AN147" s="4">
        <f ca="1">-SUM(AG147:AM147)*IFERROR(IF(C147&lt;$F$8,IF($F$23="yes",M54/SUM(M54:$M$60),L54/SUM(L54:$L$60)),IF($F$23="yes",M85/SUM(M85:$M$91),L85/SUM(L85:$L$91))),0)</f>
        <v>0</v>
      </c>
      <c r="AO147" s="4">
        <f t="shared" ca="1" si="128"/>
        <v>0</v>
      </c>
      <c r="AP147" s="124"/>
      <c r="AQ147" s="70"/>
      <c r="AR147" s="70"/>
      <c r="AS147" s="70"/>
      <c r="AT147" s="22"/>
      <c r="AU147" s="125"/>
      <c r="AX147" s="126"/>
      <c r="AZ147" s="4"/>
    </row>
    <row r="148" spans="1:52" s="2" customFormat="1" outlineLevel="1" x14ac:dyDescent="0.55000000000000004">
      <c r="A148" s="9"/>
      <c r="B148" s="1" t="s">
        <v>27</v>
      </c>
      <c r="C148" s="3">
        <v>16</v>
      </c>
      <c r="D148" s="13"/>
      <c r="E148" s="63">
        <f t="shared" ca="1" si="140"/>
        <v>-576120.56917241705</v>
      </c>
      <c r="F148" s="63">
        <f t="shared" si="109"/>
        <v>0</v>
      </c>
      <c r="G148" s="63">
        <f t="shared" si="110"/>
        <v>303125.11741724028</v>
      </c>
      <c r="H148" s="63">
        <f t="shared" ca="1" si="141"/>
        <v>-679.94412459036812</v>
      </c>
      <c r="I148" s="63">
        <f t="shared" si="112"/>
        <v>-181246.92341405209</v>
      </c>
      <c r="J148" s="63">
        <f t="shared" ca="1" si="113"/>
        <v>0</v>
      </c>
      <c r="K148" s="63">
        <f t="shared" si="114"/>
        <v>0</v>
      </c>
      <c r="L148" s="63">
        <f t="shared" si="115"/>
        <v>0</v>
      </c>
      <c r="M148" s="63">
        <f t="shared" ca="1" si="142"/>
        <v>-454922.31929381925</v>
      </c>
      <c r="N148" s="124"/>
      <c r="O148" s="63">
        <f t="shared" si="143"/>
        <v>25673.447915312197</v>
      </c>
      <c r="P148" s="63">
        <f t="shared" si="118"/>
        <v>0</v>
      </c>
      <c r="Q148" s="4">
        <f t="shared" si="144"/>
        <v>63.944325649968782</v>
      </c>
      <c r="R148" s="4">
        <f t="shared" si="145"/>
        <v>-5437.4077024215585</v>
      </c>
      <c r="S148" s="4">
        <f t="shared" si="120"/>
        <v>0</v>
      </c>
      <c r="T148" s="63">
        <f t="shared" si="121"/>
        <v>0</v>
      </c>
      <c r="U148" s="4">
        <f t="shared" si="122"/>
        <v>20299.984538540608</v>
      </c>
      <c r="V148" s="124"/>
      <c r="W148" s="63">
        <f t="shared" ca="1" si="123"/>
        <v>734219.2203714489</v>
      </c>
      <c r="X148" s="4">
        <f t="shared" si="146"/>
        <v>0</v>
      </c>
      <c r="Y148" s="4">
        <f t="shared" ca="1" si="147"/>
        <v>3643.879750434558</v>
      </c>
      <c r="Z148" s="4">
        <f t="shared" ca="1" si="131"/>
        <v>0</v>
      </c>
      <c r="AA148" s="4">
        <f t="shared" ca="1" si="132"/>
        <v>0</v>
      </c>
      <c r="AB148" s="4">
        <f t="shared" ca="1" si="133"/>
        <v>0</v>
      </c>
      <c r="AC148" s="4">
        <f t="shared" ca="1" si="134"/>
        <v>0</v>
      </c>
      <c r="AD148" s="4">
        <f ca="1">-SUM(W148:AC148)*IFERROR(IF(C148&lt;$F$8,IF($F$23="yes",M55/SUM(M55:$M$60),L55/SUM(L55:$L$60)),IF($F$23="yes",M86/SUM(M86:$M$91),L86/SUM(L86:$L$91))),0)</f>
        <v>-156949.3370941066</v>
      </c>
      <c r="AE148" s="4">
        <f t="shared" ca="1" si="125"/>
        <v>580913.76302777685</v>
      </c>
      <c r="AF148" s="124"/>
      <c r="AG148" s="63">
        <f t="shared" ca="1" si="126"/>
        <v>0</v>
      </c>
      <c r="AH148" s="4">
        <f t="shared" si="127"/>
        <v>0</v>
      </c>
      <c r="AI148" s="63">
        <f t="shared" ca="1" si="148"/>
        <v>0</v>
      </c>
      <c r="AJ148" s="63">
        <f t="shared" si="136"/>
        <v>0</v>
      </c>
      <c r="AK148" s="4">
        <f t="shared" ca="1" si="137"/>
        <v>0</v>
      </c>
      <c r="AL148" s="4">
        <f t="shared" ca="1" si="138"/>
        <v>0</v>
      </c>
      <c r="AM148" s="4">
        <f t="shared" ca="1" si="139"/>
        <v>0</v>
      </c>
      <c r="AN148" s="4">
        <f ca="1">-SUM(AG148:AM148)*IFERROR(IF(C148&lt;$F$8,IF($F$23="yes",M55/SUM(M55:$M$60),L55/SUM(L55:$L$60)),IF($F$23="yes",M86/SUM(M86:$M$91),L86/SUM(L86:$L$91))),0)</f>
        <v>0</v>
      </c>
      <c r="AO148" s="4">
        <f t="shared" ca="1" si="128"/>
        <v>0</v>
      </c>
      <c r="AP148" s="124"/>
      <c r="AQ148" s="70"/>
      <c r="AR148" s="70"/>
      <c r="AS148" s="70"/>
      <c r="AT148" s="22"/>
      <c r="AU148" s="125"/>
      <c r="AX148" s="126"/>
      <c r="AZ148" s="4"/>
    </row>
    <row r="149" spans="1:52" s="2" customFormat="1" outlineLevel="1" x14ac:dyDescent="0.55000000000000004">
      <c r="A149" s="9"/>
      <c r="B149" s="1" t="s">
        <v>28</v>
      </c>
      <c r="C149" s="3">
        <v>17</v>
      </c>
      <c r="D149" s="13"/>
      <c r="E149" s="63">
        <f t="shared" ca="1" si="140"/>
        <v>-454922.31929381925</v>
      </c>
      <c r="F149" s="63">
        <f t="shared" si="109"/>
        <v>0</v>
      </c>
      <c r="G149" s="63">
        <f t="shared" si="110"/>
        <v>295245.00000000006</v>
      </c>
      <c r="H149" s="63">
        <f t="shared" ca="1" si="141"/>
        <v>-397.70499613136417</v>
      </c>
      <c r="I149" s="63">
        <f t="shared" si="112"/>
        <v>-176719.5598459391</v>
      </c>
      <c r="J149" s="63">
        <f t="shared" ca="1" si="113"/>
        <v>0</v>
      </c>
      <c r="K149" s="63">
        <f t="shared" si="114"/>
        <v>0</v>
      </c>
      <c r="L149" s="63">
        <f t="shared" si="115"/>
        <v>0</v>
      </c>
      <c r="M149" s="63">
        <f t="shared" ca="1" si="142"/>
        <v>-336794.58413588966</v>
      </c>
      <c r="N149" s="124"/>
      <c r="O149" s="63">
        <f t="shared" si="143"/>
        <v>20299.984538540608</v>
      </c>
      <c r="P149" s="63">
        <f t="shared" si="118"/>
        <v>0</v>
      </c>
      <c r="Q149" s="4">
        <f t="shared" si="144"/>
        <v>50.560751571181669</v>
      </c>
      <c r="R149" s="4">
        <f t="shared" si="145"/>
        <v>-5301.5867953781817</v>
      </c>
      <c r="S149" s="4">
        <f t="shared" si="120"/>
        <v>0</v>
      </c>
      <c r="T149" s="63">
        <f t="shared" si="121"/>
        <v>0</v>
      </c>
      <c r="U149" s="4">
        <f t="shared" si="122"/>
        <v>15048.958494733608</v>
      </c>
      <c r="V149" s="124"/>
      <c r="W149" s="63">
        <f t="shared" ca="1" si="123"/>
        <v>580913.76302777685</v>
      </c>
      <c r="X149" s="4">
        <f t="shared" si="146"/>
        <v>0</v>
      </c>
      <c r="Y149" s="4">
        <f t="shared" ca="1" si="147"/>
        <v>2883.0352558391965</v>
      </c>
      <c r="Z149" s="4">
        <f t="shared" ca="1" si="131"/>
        <v>0</v>
      </c>
      <c r="AA149" s="4">
        <f t="shared" ca="1" si="132"/>
        <v>0</v>
      </c>
      <c r="AB149" s="4">
        <f t="shared" ca="1" si="133"/>
        <v>0</v>
      </c>
      <c r="AC149" s="4">
        <f t="shared" ca="1" si="134"/>
        <v>0</v>
      </c>
      <c r="AD149" s="4">
        <f ca="1">-SUM(W149:AC149)*IFERROR(IF(C149&lt;$F$8,IF($F$23="yes",M56/SUM(M56:$M$60),L56/SUM(L56:$L$60)),IF($F$23="yes",M87/SUM(M87:$M$91),L87/SUM(L87:$L$91))),0)</f>
        <v>-152869.24232862666</v>
      </c>
      <c r="AE149" s="4">
        <f t="shared" ca="1" si="125"/>
        <v>430927.5559549894</v>
      </c>
      <c r="AF149" s="124"/>
      <c r="AG149" s="63">
        <f t="shared" ca="1" si="126"/>
        <v>0</v>
      </c>
      <c r="AH149" s="4">
        <f t="shared" si="127"/>
        <v>0</v>
      </c>
      <c r="AI149" s="63">
        <f t="shared" ca="1" si="148"/>
        <v>0</v>
      </c>
      <c r="AJ149" s="63">
        <f t="shared" si="136"/>
        <v>0</v>
      </c>
      <c r="AK149" s="4">
        <f t="shared" ca="1" si="137"/>
        <v>0</v>
      </c>
      <c r="AL149" s="4">
        <f t="shared" ca="1" si="138"/>
        <v>0</v>
      </c>
      <c r="AM149" s="4">
        <f t="shared" ca="1" si="139"/>
        <v>0</v>
      </c>
      <c r="AN149" s="4">
        <f ca="1">-SUM(AG149:AM149)*IFERROR(IF(C149&lt;$F$8,IF($F$23="yes",M56/SUM(M56:$M$60),L56/SUM(L56:$L$60)),IF($F$23="yes",M87/SUM(M87:$M$91),L87/SUM(L87:$L$91))),0)</f>
        <v>0</v>
      </c>
      <c r="AO149" s="4">
        <f t="shared" ca="1" si="128"/>
        <v>0</v>
      </c>
      <c r="AP149" s="124"/>
      <c r="AQ149" s="70"/>
      <c r="AR149" s="70"/>
      <c r="AS149" s="70"/>
      <c r="AX149" s="126"/>
      <c r="AZ149" s="4"/>
    </row>
    <row r="150" spans="1:52" s="2" customFormat="1" outlineLevel="1" x14ac:dyDescent="0.55000000000000004">
      <c r="A150" s="9"/>
      <c r="B150" s="1" t="s">
        <v>29</v>
      </c>
      <c r="C150" s="3">
        <v>18</v>
      </c>
      <c r="D150" s="13"/>
      <c r="E150" s="63">
        <f t="shared" ca="1" si="140"/>
        <v>-336794.58413588966</v>
      </c>
      <c r="F150" s="63">
        <f t="shared" si="109"/>
        <v>0</v>
      </c>
      <c r="G150" s="63">
        <f t="shared" si="110"/>
        <v>287569.73611333675</v>
      </c>
      <c r="H150" s="63">
        <f t="shared" ca="1" si="141"/>
        <v>-122.60331072037343</v>
      </c>
      <c r="I150" s="63">
        <f t="shared" si="112"/>
        <v>-172305.32170788251</v>
      </c>
      <c r="J150" s="63">
        <f t="shared" ca="1" si="113"/>
        <v>0</v>
      </c>
      <c r="K150" s="63">
        <f t="shared" si="114"/>
        <v>0</v>
      </c>
      <c r="L150" s="63">
        <f t="shared" si="115"/>
        <v>0</v>
      </c>
      <c r="M150" s="63">
        <f t="shared" ca="1" si="142"/>
        <v>-221652.7730411558</v>
      </c>
      <c r="N150" s="124"/>
      <c r="O150" s="63">
        <f t="shared" si="143"/>
        <v>15048.958494733608</v>
      </c>
      <c r="P150" s="63">
        <f t="shared" si="118"/>
        <v>0</v>
      </c>
      <c r="Q150" s="4">
        <f t="shared" si="144"/>
        <v>37.482129624910101</v>
      </c>
      <c r="R150" s="4">
        <f t="shared" si="145"/>
        <v>-5169.1596512364758</v>
      </c>
      <c r="S150" s="4">
        <f t="shared" si="120"/>
        <v>0</v>
      </c>
      <c r="T150" s="63">
        <f t="shared" si="121"/>
        <v>0</v>
      </c>
      <c r="U150" s="4">
        <f t="shared" si="122"/>
        <v>9917.2809731220423</v>
      </c>
      <c r="V150" s="124"/>
      <c r="W150" s="63">
        <f t="shared" ca="1" si="123"/>
        <v>430927.5559549894</v>
      </c>
      <c r="X150" s="4">
        <f t="shared" si="146"/>
        <v>0</v>
      </c>
      <c r="Y150" s="4">
        <f t="shared" ca="1" si="147"/>
        <v>2138.6639732125732</v>
      </c>
      <c r="Z150" s="4">
        <f t="shared" ca="1" si="131"/>
        <v>0</v>
      </c>
      <c r="AA150" s="4">
        <f t="shared" ca="1" si="132"/>
        <v>0</v>
      </c>
      <c r="AB150" s="4">
        <f t="shared" ca="1" si="133"/>
        <v>0</v>
      </c>
      <c r="AC150" s="4">
        <f t="shared" ca="1" si="134"/>
        <v>0</v>
      </c>
      <c r="AD150" s="4">
        <f ca="1">-SUM(W150:AC150)*IFERROR(IF(C150&lt;$F$8,IF($F$23="yes",M57/SUM(M57:$M$60),L57/SUM(L57:$L$60)),IF($F$23="yes",M88/SUM(M88:$M$91),L88/SUM(L88:$L$91))),0)</f>
        <v>-148895.21474127885</v>
      </c>
      <c r="AE150" s="4">
        <f t="shared" ca="1" si="125"/>
        <v>284171.00518692314</v>
      </c>
      <c r="AF150" s="124"/>
      <c r="AG150" s="63">
        <f t="shared" ca="1" si="126"/>
        <v>0</v>
      </c>
      <c r="AH150" s="4">
        <f t="shared" si="127"/>
        <v>0</v>
      </c>
      <c r="AI150" s="63">
        <f t="shared" ca="1" si="148"/>
        <v>0</v>
      </c>
      <c r="AJ150" s="63">
        <f t="shared" si="136"/>
        <v>0</v>
      </c>
      <c r="AK150" s="4">
        <f t="shared" ca="1" si="137"/>
        <v>0</v>
      </c>
      <c r="AL150" s="4">
        <f t="shared" ca="1" si="138"/>
        <v>0</v>
      </c>
      <c r="AM150" s="4">
        <f t="shared" ca="1" si="139"/>
        <v>0</v>
      </c>
      <c r="AN150" s="4">
        <f ca="1">-SUM(AG150:AM150)*IFERROR(IF(C150&lt;$F$8,IF($F$23="yes",M57/SUM(M57:$M$60),L57/SUM(L57:$L$60)),IF($F$23="yes",M88/SUM(M88:$M$91),L88/SUM(L88:$L$91))),0)</f>
        <v>0</v>
      </c>
      <c r="AO150" s="4">
        <f t="shared" ca="1" si="128"/>
        <v>0</v>
      </c>
      <c r="AP150" s="124"/>
      <c r="AQ150" s="70"/>
      <c r="AR150" s="70"/>
      <c r="AS150" s="70"/>
      <c r="AX150" s="126"/>
      <c r="AZ150" s="4"/>
    </row>
    <row r="151" spans="1:52" s="2" customFormat="1" outlineLevel="1" x14ac:dyDescent="0.55000000000000004">
      <c r="A151" s="9"/>
      <c r="B151" s="1" t="s">
        <v>30</v>
      </c>
      <c r="C151" s="3">
        <v>19</v>
      </c>
      <c r="D151" s="13"/>
      <c r="E151" s="63">
        <f t="shared" ca="1" si="140"/>
        <v>-221652.7730411558</v>
      </c>
      <c r="F151" s="63">
        <f t="shared" si="109"/>
        <v>0</v>
      </c>
      <c r="G151" s="63">
        <f t="shared" si="110"/>
        <v>280094.00033292396</v>
      </c>
      <c r="H151" s="63">
        <f t="shared" ca="1" si="141"/>
        <v>145.55835591914584</v>
      </c>
      <c r="I151" s="63">
        <f t="shared" si="112"/>
        <v>-168001.38138853904</v>
      </c>
      <c r="J151" s="63">
        <f t="shared" ca="1" si="113"/>
        <v>0</v>
      </c>
      <c r="K151" s="63">
        <f t="shared" si="114"/>
        <v>0</v>
      </c>
      <c r="L151" s="63">
        <f t="shared" si="115"/>
        <v>0</v>
      </c>
      <c r="M151" s="63">
        <f t="shared" ca="1" si="142"/>
        <v>-109414.59574085174</v>
      </c>
      <c r="N151" s="124"/>
      <c r="O151" s="63">
        <f t="shared" si="143"/>
        <v>9917.2809731220423</v>
      </c>
      <c r="P151" s="63">
        <f t="shared" si="118"/>
        <v>0</v>
      </c>
      <c r="Q151" s="4">
        <f t="shared" si="144"/>
        <v>24.700766574065501</v>
      </c>
      <c r="R151" s="4">
        <f t="shared" si="145"/>
        <v>-5040.0414416561698</v>
      </c>
      <c r="S151" s="4">
        <f t="shared" si="120"/>
        <v>0</v>
      </c>
      <c r="T151" s="63">
        <f t="shared" si="121"/>
        <v>0</v>
      </c>
      <c r="U151" s="4">
        <f t="shared" si="122"/>
        <v>4901.9402980399382</v>
      </c>
      <c r="V151" s="124"/>
      <c r="W151" s="63">
        <f t="shared" ca="1" si="123"/>
        <v>284171.00518692314</v>
      </c>
      <c r="X151" s="4">
        <f t="shared" si="146"/>
        <v>0</v>
      </c>
      <c r="Y151" s="4">
        <f t="shared" ca="1" si="147"/>
        <v>1410.3212538312478</v>
      </c>
      <c r="Z151" s="4">
        <f t="shared" ca="1" si="131"/>
        <v>0</v>
      </c>
      <c r="AA151" s="4">
        <f t="shared" ca="1" si="132"/>
        <v>0</v>
      </c>
      <c r="AB151" s="4">
        <f t="shared" ca="1" si="133"/>
        <v>0</v>
      </c>
      <c r="AC151" s="4">
        <f t="shared" ca="1" si="134"/>
        <v>0</v>
      </c>
      <c r="AD151" s="4">
        <f ca="1">-SUM(W151:AC151)*IFERROR(IF(C151&lt;$F$8,IF($F$23="yes",M58/SUM(M58:$M$60),L58/SUM(L58:$L$60)),IF($F$23="yes",M89/SUM(M89:$M$91),L89/SUM(L89:$L$91))),0)</f>
        <v>-145024.4969828047</v>
      </c>
      <c r="AE151" s="4">
        <f t="shared" ca="1" si="125"/>
        <v>140556.8294579497</v>
      </c>
      <c r="AF151" s="124"/>
      <c r="AG151" s="63">
        <f t="shared" ca="1" si="126"/>
        <v>0</v>
      </c>
      <c r="AH151" s="4">
        <f t="shared" si="127"/>
        <v>0</v>
      </c>
      <c r="AI151" s="63">
        <f t="shared" ca="1" si="148"/>
        <v>0</v>
      </c>
      <c r="AJ151" s="63">
        <f t="shared" si="136"/>
        <v>0</v>
      </c>
      <c r="AK151" s="4">
        <f t="shared" ca="1" si="137"/>
        <v>0</v>
      </c>
      <c r="AL151" s="4">
        <f t="shared" ca="1" si="138"/>
        <v>0</v>
      </c>
      <c r="AM151" s="4">
        <f t="shared" ca="1" si="139"/>
        <v>0</v>
      </c>
      <c r="AN151" s="4">
        <f ca="1">-SUM(AG151:AM151)*IFERROR(IF(C151&lt;$F$8,IF($F$23="yes",M58/SUM(M58:$M$60),L58/SUM(L58:$L$60)),IF($F$23="yes",M89/SUM(M89:$M$91),L89/SUM(L89:$L$91))),0)</f>
        <v>0</v>
      </c>
      <c r="AO151" s="4">
        <f t="shared" ca="1" si="128"/>
        <v>0</v>
      </c>
      <c r="AP151" s="124"/>
      <c r="AQ151" s="70"/>
      <c r="AR151" s="70"/>
      <c r="AS151" s="70"/>
      <c r="AX151" s="126"/>
      <c r="AZ151" s="4"/>
    </row>
    <row r="152" spans="1:52" s="2" customFormat="1" outlineLevel="1" x14ac:dyDescent="0.55000000000000004">
      <c r="A152" s="9"/>
      <c r="B152" s="1" t="s">
        <v>31</v>
      </c>
      <c r="C152" s="3">
        <v>20</v>
      </c>
      <c r="D152" s="13"/>
      <c r="E152" s="63">
        <f t="shared" ca="1" si="140"/>
        <v>-109414.59574085174</v>
      </c>
      <c r="F152" s="63">
        <f t="shared" si="109"/>
        <v>0</v>
      </c>
      <c r="G152" s="63">
        <f t="shared" si="110"/>
        <v>272812.60567551624</v>
      </c>
      <c r="H152" s="63">
        <f t="shared" ca="1" si="141"/>
        <v>406.97204334550577</v>
      </c>
      <c r="I152" s="63">
        <f t="shared" si="112"/>
        <v>-163804.98197801012</v>
      </c>
      <c r="J152" s="63">
        <f t="shared" ca="1" si="113"/>
        <v>0</v>
      </c>
      <c r="K152" s="63">
        <f t="shared" si="114"/>
        <v>0</v>
      </c>
      <c r="L152" s="63">
        <f t="shared" si="115"/>
        <v>0</v>
      </c>
      <c r="M152" s="63">
        <f t="shared" ca="1" si="142"/>
        <v>-1.1641532182693481E-10</v>
      </c>
      <c r="N152" s="124"/>
      <c r="O152" s="63">
        <f t="shared" si="143"/>
        <v>4901.9402980399382</v>
      </c>
      <c r="P152" s="63">
        <f t="shared" si="118"/>
        <v>0</v>
      </c>
      <c r="Q152" s="4">
        <f t="shared" si="144"/>
        <v>12.209161300365182</v>
      </c>
      <c r="R152" s="4">
        <f t="shared" si="145"/>
        <v>-4914.1494593403031</v>
      </c>
      <c r="S152" s="4">
        <f t="shared" si="120"/>
        <v>0</v>
      </c>
      <c r="T152" s="63">
        <f t="shared" si="121"/>
        <v>0</v>
      </c>
      <c r="U152" s="4">
        <f t="shared" si="122"/>
        <v>0</v>
      </c>
      <c r="V152" s="124"/>
      <c r="W152" s="63">
        <f t="shared" ca="1" si="123"/>
        <v>140556.8294579497</v>
      </c>
      <c r="X152" s="4">
        <f t="shared" si="146"/>
        <v>0</v>
      </c>
      <c r="Y152" s="4">
        <f t="shared" ca="1" si="147"/>
        <v>697.57392674628352</v>
      </c>
      <c r="Z152" s="4">
        <f t="shared" ca="1" si="131"/>
        <v>0</v>
      </c>
      <c r="AA152" s="4">
        <f t="shared" ca="1" si="132"/>
        <v>0</v>
      </c>
      <c r="AB152" s="4">
        <f t="shared" ca="1" si="133"/>
        <v>0</v>
      </c>
      <c r="AC152" s="4">
        <f t="shared" ca="1" si="134"/>
        <v>0</v>
      </c>
      <c r="AD152" s="4">
        <f ca="1">-SUM(W152:AC152)*IFERROR(IF(C152&lt;$F$8,IF($F$23="yes",M59/SUM(M59:$M$60),L59/SUM(L59:$L$60)),IF($F$23="yes",M90/SUM(M90:$M$91),L90/SUM(L90:$L$91))),0)</f>
        <v>-141254.40338469599</v>
      </c>
      <c r="AE152" s="4">
        <f t="shared" ca="1" si="125"/>
        <v>0</v>
      </c>
      <c r="AF152" s="124"/>
      <c r="AG152" s="63">
        <f t="shared" ca="1" si="126"/>
        <v>0</v>
      </c>
      <c r="AH152" s="4">
        <f t="shared" si="127"/>
        <v>0</v>
      </c>
      <c r="AI152" s="63">
        <f t="shared" ca="1" si="148"/>
        <v>0</v>
      </c>
      <c r="AJ152" s="63">
        <f t="shared" si="136"/>
        <v>0</v>
      </c>
      <c r="AK152" s="4">
        <f t="shared" ca="1" si="137"/>
        <v>0</v>
      </c>
      <c r="AL152" s="4">
        <f t="shared" ca="1" si="138"/>
        <v>0</v>
      </c>
      <c r="AM152" s="4">
        <f t="shared" ca="1" si="139"/>
        <v>0</v>
      </c>
      <c r="AN152" s="4">
        <f ca="1">-SUM(AG152:AM152)*IFERROR(IF(C152&lt;$F$8,IF($F$23="yes",M59/SUM(M59:$M$60),L59/SUM(L59:$L$60)),IF($F$23="yes",M90/SUM(M90:$M$91),L90/SUM(L90:$L$91))),0)</f>
        <v>0</v>
      </c>
      <c r="AO152" s="4">
        <f t="shared" ca="1" si="128"/>
        <v>0</v>
      </c>
      <c r="AP152" s="124"/>
      <c r="AQ152" s="70"/>
      <c r="AR152" s="70"/>
      <c r="AS152" s="70"/>
      <c r="AX152" s="126"/>
      <c r="AZ152" s="4"/>
    </row>
    <row r="153" spans="1:52" s="2" customFormat="1" outlineLevel="1" x14ac:dyDescent="0.55000000000000004">
      <c r="A153"/>
      <c r="B153" s="8"/>
      <c r="C153" s="6"/>
      <c r="D153" s="13"/>
      <c r="E153" s="7"/>
      <c r="F153" s="7"/>
      <c r="G153" s="7"/>
      <c r="H153" s="7"/>
      <c r="I153" s="7"/>
      <c r="J153" s="7"/>
      <c r="K153" s="7"/>
      <c r="L153" s="7"/>
      <c r="M153" s="7"/>
      <c r="O153" s="7"/>
      <c r="P153" s="7"/>
      <c r="Q153" s="7"/>
      <c r="R153" s="7"/>
      <c r="S153" s="7"/>
      <c r="T153" s="7"/>
      <c r="U153" s="7"/>
      <c r="W153" s="7"/>
      <c r="X153" s="7"/>
      <c r="Y153" s="7"/>
      <c r="Z153" s="7"/>
      <c r="AA153" s="7"/>
      <c r="AB153" s="7"/>
      <c r="AC153" s="7"/>
      <c r="AD153" s="7"/>
      <c r="AE153" s="7"/>
      <c r="AG153" s="7"/>
      <c r="AH153" s="7"/>
      <c r="AI153" s="7"/>
      <c r="AJ153" s="7"/>
      <c r="AK153" s="7"/>
      <c r="AL153" s="7"/>
      <c r="AM153" s="7"/>
      <c r="AN153" s="7"/>
      <c r="AO153" s="7"/>
      <c r="AQ153" s="70"/>
      <c r="AR153" s="70"/>
      <c r="AS153" s="70"/>
    </row>
    <row r="154" spans="1:52" s="2" customFormat="1" outlineLevel="1" x14ac:dyDescent="0.55000000000000004">
      <c r="A154" s="9"/>
      <c r="B154" s="4"/>
      <c r="C154" s="4"/>
      <c r="D154" s="13"/>
      <c r="AQ154" s="70"/>
      <c r="AR154" s="70"/>
      <c r="AS154" s="70"/>
    </row>
    <row r="155" spans="1:52" s="2" customFormat="1" outlineLevel="1" x14ac:dyDescent="0.55000000000000004">
      <c r="A155" s="9"/>
      <c r="B155" s="24"/>
      <c r="C155" s="24"/>
      <c r="D155" s="13"/>
      <c r="F155" s="52">
        <f t="shared" ref="F155:L155" ca="1" si="149">SUM(F132:F152)</f>
        <v>-2414506.7984146737</v>
      </c>
      <c r="G155" s="52">
        <f t="shared" si="149"/>
        <v>7755177.981072288</v>
      </c>
      <c r="H155" s="52">
        <f t="shared" ca="1" si="149"/>
        <v>-44640.519352256211</v>
      </c>
      <c r="I155" s="52">
        <f t="shared" si="149"/>
        <v>-4405773.5892360462</v>
      </c>
      <c r="J155" s="52">
        <f t="shared" ca="1" si="149"/>
        <v>0</v>
      </c>
      <c r="K155" s="52">
        <f t="shared" ca="1" si="149"/>
        <v>-873526.97978669847</v>
      </c>
      <c r="L155" s="52">
        <f t="shared" ca="1" si="149"/>
        <v>-16730.09428261267</v>
      </c>
      <c r="P155" s="52">
        <f t="shared" ref="P155:T155" si="150">SUM(P132:P152)</f>
        <v>192771.74574995536</v>
      </c>
      <c r="Q155" s="52">
        <f t="shared" si="150"/>
        <v>6477.3960677607083</v>
      </c>
      <c r="R155" s="52">
        <f t="shared" si="150"/>
        <v>-170496.55952257474</v>
      </c>
      <c r="S155" s="52">
        <f t="shared" si="150"/>
        <v>-29936.286297315091</v>
      </c>
      <c r="T155" s="52">
        <f t="shared" si="150"/>
        <v>1183.7040021738212</v>
      </c>
      <c r="X155" s="52">
        <f t="shared" ref="X155:AD155" ca="1" si="151">SUM(X132:X152)</f>
        <v>2221735.0526647181</v>
      </c>
      <c r="Y155" s="52">
        <f t="shared" ca="1" si="151"/>
        <v>129807.86725603466</v>
      </c>
      <c r="Z155" s="52">
        <f t="shared" ca="1" si="151"/>
        <v>69705.616150401824</v>
      </c>
      <c r="AA155" s="52">
        <f t="shared" ca="1" si="151"/>
        <v>903463.26608401351</v>
      </c>
      <c r="AB155" s="52">
        <f t="shared" ca="1" si="151"/>
        <v>0</v>
      </c>
      <c r="AC155" s="52">
        <f t="shared" ca="1" si="151"/>
        <v>0</v>
      </c>
      <c r="AD155" s="52">
        <f t="shared" ca="1" si="151"/>
        <v>-3324711.8021551678</v>
      </c>
      <c r="AH155" s="52">
        <f t="shared" ref="AH155:AN155" ca="1" si="152">SUM(AH132:AH152)</f>
        <v>0</v>
      </c>
      <c r="AI155" s="52">
        <f t="shared" ca="1" si="152"/>
        <v>0</v>
      </c>
      <c r="AJ155" s="52">
        <f t="shared" ca="1" si="152"/>
        <v>0</v>
      </c>
      <c r="AK155" s="52">
        <f t="shared" ca="1" si="152"/>
        <v>0</v>
      </c>
      <c r="AL155" s="52">
        <f t="shared" ca="1" si="152"/>
        <v>0</v>
      </c>
      <c r="AM155" s="52">
        <f t="shared" ca="1" si="152"/>
        <v>0</v>
      </c>
      <c r="AN155" s="52">
        <f t="shared" ca="1" si="152"/>
        <v>0</v>
      </c>
      <c r="AQ155" s="70"/>
      <c r="AR155" s="70"/>
      <c r="AS155" s="70"/>
    </row>
    <row r="156" spans="1:52" s="2" customFormat="1" x14ac:dyDescent="0.55000000000000004">
      <c r="A156" s="9"/>
      <c r="B156" s="24"/>
      <c r="C156" s="24"/>
      <c r="D156" s="4"/>
      <c r="E156" s="4"/>
      <c r="AL156" s="70"/>
      <c r="AM156" s="70"/>
      <c r="AN156" s="70"/>
    </row>
    <row r="157" spans="1:52" s="2" customFormat="1" x14ac:dyDescent="0.55000000000000004">
      <c r="A157" s="9"/>
      <c r="B157" s="24"/>
      <c r="C157" s="24"/>
      <c r="D157" s="4"/>
      <c r="E157" s="4"/>
      <c r="AL157" s="70"/>
      <c r="AM157" s="70"/>
      <c r="AN157" s="70"/>
    </row>
    <row r="158" spans="1:52" s="70" customFormat="1" ht="18.3" x14ac:dyDescent="0.55000000000000004">
      <c r="B158" s="145" t="s">
        <v>175</v>
      </c>
      <c r="AG158" s="75"/>
      <c r="AK158" s="55"/>
    </row>
    <row r="159" spans="1:52" s="70" customFormat="1" outlineLevel="1" x14ac:dyDescent="0.55000000000000004">
      <c r="B159" s="55"/>
      <c r="C159" s="55"/>
      <c r="D159" s="55"/>
      <c r="E159" s="55"/>
      <c r="F159" s="55"/>
      <c r="G159" s="55"/>
      <c r="H159" s="55"/>
      <c r="I159" s="55"/>
      <c r="J159" s="55"/>
      <c r="K159" s="55"/>
      <c r="L159" s="55"/>
      <c r="M159" s="55"/>
      <c r="N159" s="55"/>
      <c r="O159" s="55"/>
      <c r="P159" s="55"/>
      <c r="Q159" s="55"/>
      <c r="R159" s="55"/>
      <c r="S159" s="55"/>
      <c r="T159" s="55"/>
      <c r="U159" s="55"/>
      <c r="V159" s="55"/>
      <c r="AG159" s="75"/>
    </row>
    <row r="160" spans="1:52" s="70" customFormat="1" outlineLevel="1" x14ac:dyDescent="0.55000000000000004">
      <c r="B160" s="176" t="s">
        <v>10</v>
      </c>
      <c r="C160" s="176"/>
      <c r="E160" s="176" t="s">
        <v>125</v>
      </c>
      <c r="F160" s="176"/>
      <c r="G160" s="176"/>
      <c r="H160" s="176"/>
      <c r="I160" s="176"/>
      <c r="J160" s="176"/>
      <c r="L160" s="176" t="s">
        <v>391</v>
      </c>
      <c r="M160" s="176"/>
      <c r="N160" s="176"/>
      <c r="O160" s="176"/>
      <c r="P160" s="176"/>
      <c r="R160" s="176" t="s">
        <v>67</v>
      </c>
      <c r="S160" s="176"/>
      <c r="T160" s="176"/>
      <c r="U160" s="176"/>
      <c r="V160" s="176"/>
      <c r="W160" s="176"/>
      <c r="X160" s="176"/>
      <c r="Y160" s="176"/>
      <c r="Z160" s="176"/>
      <c r="AB160" s="153" t="s">
        <v>146</v>
      </c>
      <c r="AD160" s="177" t="s">
        <v>5</v>
      </c>
      <c r="AE160" s="177"/>
      <c r="AG160" s="75"/>
    </row>
    <row r="161" spans="2:33" s="70" customFormat="1" ht="25.8" outlineLevel="1" x14ac:dyDescent="0.55000000000000004">
      <c r="B161" s="147" t="s">
        <v>149</v>
      </c>
      <c r="C161" s="147" t="s">
        <v>10</v>
      </c>
      <c r="E161" s="54" t="s">
        <v>11</v>
      </c>
      <c r="F161" s="54" t="s">
        <v>13</v>
      </c>
      <c r="G161" s="54" t="s">
        <v>398</v>
      </c>
      <c r="H161" s="54" t="s">
        <v>352</v>
      </c>
      <c r="I161" s="54" t="s">
        <v>396</v>
      </c>
      <c r="J161" s="54" t="s">
        <v>15</v>
      </c>
      <c r="L161" s="54" t="s">
        <v>11</v>
      </c>
      <c r="M161" s="54" t="s">
        <v>157</v>
      </c>
      <c r="N161" s="54" t="s">
        <v>13</v>
      </c>
      <c r="O161" s="54" t="s">
        <v>136</v>
      </c>
      <c r="P161" s="54" t="s">
        <v>15</v>
      </c>
      <c r="Q161" s="51"/>
      <c r="R161" s="54" t="s">
        <v>11</v>
      </c>
      <c r="S161" s="54" t="s">
        <v>38</v>
      </c>
      <c r="T161" s="54" t="s">
        <v>41</v>
      </c>
      <c r="U161" s="59" t="s">
        <v>13</v>
      </c>
      <c r="V161" s="56" t="s">
        <v>392</v>
      </c>
      <c r="W161" s="59" t="s">
        <v>14</v>
      </c>
      <c r="X161" s="54" t="s">
        <v>121</v>
      </c>
      <c r="Y161" s="54" t="s">
        <v>15</v>
      </c>
      <c r="Z161" s="54" t="s">
        <v>397</v>
      </c>
      <c r="AB161" s="76" t="s">
        <v>15</v>
      </c>
      <c r="AD161" s="161" t="s">
        <v>150</v>
      </c>
      <c r="AE161" s="161" t="s">
        <v>151</v>
      </c>
      <c r="AG161" s="75"/>
    </row>
    <row r="162" spans="2:33" s="70" customFormat="1" outlineLevel="1" x14ac:dyDescent="0.55000000000000004">
      <c r="B162" s="120" t="s">
        <v>312</v>
      </c>
      <c r="C162" s="120" t="s">
        <v>313</v>
      </c>
      <c r="E162" s="148" t="s">
        <v>314</v>
      </c>
      <c r="F162" s="148" t="s">
        <v>315</v>
      </c>
      <c r="G162" s="148" t="s">
        <v>316</v>
      </c>
      <c r="H162" s="148" t="s">
        <v>317</v>
      </c>
      <c r="I162" s="148" t="s">
        <v>318</v>
      </c>
      <c r="J162" s="148" t="s">
        <v>319</v>
      </c>
      <c r="L162" s="60" t="s">
        <v>320</v>
      </c>
      <c r="M162" s="60" t="s">
        <v>321</v>
      </c>
      <c r="N162" s="60" t="s">
        <v>322</v>
      </c>
      <c r="O162" s="60" t="s">
        <v>323</v>
      </c>
      <c r="P162" s="60" t="s">
        <v>324</v>
      </c>
      <c r="Q162" s="61"/>
      <c r="R162" s="60" t="s">
        <v>325</v>
      </c>
      <c r="S162" s="60" t="s">
        <v>326</v>
      </c>
      <c r="T162" s="60" t="s">
        <v>327</v>
      </c>
      <c r="U162" s="60" t="s">
        <v>328</v>
      </c>
      <c r="V162" s="60" t="s">
        <v>329</v>
      </c>
      <c r="W162" s="60" t="s">
        <v>330</v>
      </c>
      <c r="X162" s="60" t="s">
        <v>331</v>
      </c>
      <c r="Y162" s="60" t="s">
        <v>332</v>
      </c>
      <c r="Z162" s="60" t="s">
        <v>333</v>
      </c>
      <c r="AB162" s="60" t="s">
        <v>334</v>
      </c>
      <c r="AD162" s="60" t="s">
        <v>335</v>
      </c>
      <c r="AE162" s="60" t="s">
        <v>336</v>
      </c>
      <c r="AG162" s="75"/>
    </row>
    <row r="163" spans="2:33" s="70" customFormat="1" outlineLevel="1" x14ac:dyDescent="0.55000000000000004">
      <c r="B163" s="117"/>
      <c r="C163" s="118">
        <v>0</v>
      </c>
      <c r="L163" s="55"/>
      <c r="N163" s="55"/>
      <c r="O163" s="55"/>
      <c r="P163" s="55"/>
      <c r="Q163" s="55"/>
      <c r="R163" s="51"/>
      <c r="S163" s="51"/>
      <c r="T163" s="51"/>
      <c r="U163" s="64"/>
      <c r="V163" s="51"/>
      <c r="W163" s="51"/>
      <c r="X163" s="51"/>
      <c r="Y163" s="51"/>
      <c r="Z163" s="51"/>
      <c r="AB163" s="51"/>
      <c r="AD163" s="51"/>
      <c r="AE163" s="65"/>
      <c r="AG163" s="75"/>
    </row>
    <row r="164" spans="2:33" s="70" customFormat="1" outlineLevel="1" x14ac:dyDescent="0.55000000000000004">
      <c r="B164" s="1" t="s">
        <v>6</v>
      </c>
      <c r="C164" s="3">
        <v>1</v>
      </c>
      <c r="E164" s="51">
        <f>IF(C164=1,Z39,J163)*(1-(F26="immediate"))</f>
        <v>-900000</v>
      </c>
      <c r="F164" s="51">
        <f>IF($F$27="yes",E164*((1+$F$17)^(1/4)-1),0)</f>
        <v>-4466.6384158834389</v>
      </c>
      <c r="G164" s="51">
        <f>-(E164+F164)*($F$26="time")*IFERROR(IF($F$27="yes",D40/SUM(D40:$D$59),1/COUNT(D40:$D$59)),0)</f>
        <v>0</v>
      </c>
      <c r="H164" s="51">
        <f>-(E164+F164)*($F$26="policies IF")*IFERROR(IF(C164&lt;$F$8,IF($F$27="yes",H40/SUM(H40:$H$59),F40/SUM(F40:$F$59)),IF($F$27="yes",H71/SUM(H71:$H$90),F71/SUM(F71:$F$90))),0)</f>
        <v>0</v>
      </c>
      <c r="I164" s="51">
        <f>-(E164+F164)*($F$26="risk")*IFERROR(IF(C164&lt;$F$8,IF($F$27="yes",R40/SUM(R40:$R$59),Q40/SUM(Q40:$Q$59)),IF($F$27="yes",R71/SUM(R71:$R$90),Q71/SUM(Q71:$Q$90))),0)</f>
        <v>75794.116399897175</v>
      </c>
      <c r="J164" s="51">
        <f t="shared" ref="J164:J175" si="153">SUM(E164:I164)</f>
        <v>-828672.52201598627</v>
      </c>
      <c r="K164" s="124"/>
      <c r="L164" s="51">
        <f ca="1">IF(C164=1,IF(F27="yes",-AD62-AH62,-W62-AA62),P163)</f>
        <v>5369941.7134137806</v>
      </c>
      <c r="M164" s="51">
        <f>IF(C164=$F$8,AS70,0)</f>
        <v>0</v>
      </c>
      <c r="N164" s="51">
        <f ca="1">IF($F$27="yes",(L164+M164)*((1+$F$17)^(1/4)-1),0)</f>
        <v>26650.653275765479</v>
      </c>
      <c r="O164" s="51">
        <f ca="1">-(L164+M164+N164)*IFERROR(IF(C164&lt;$F$8,IF($F$24="yes",R40/SUM(R40:$R$60),Q40/SUM(Q40:$Q$60)),IF($F$24="yes",R71/SUM(R71:$R$90),Q71/SUM(Q71:$Q$90))),0)</f>
        <v>-452233.31920794153</v>
      </c>
      <c r="P164" s="51">
        <f t="shared" ref="P164:P175" ca="1" si="154">SUM(L164:O164)</f>
        <v>4944359.0474816049</v>
      </c>
      <c r="Q164" s="124"/>
      <c r="R164" s="51">
        <f t="shared" ref="R164:R175" si="155">IF(C164=1,0,Y163)</f>
        <v>0</v>
      </c>
      <c r="S164" s="51">
        <f t="shared" ref="S164:S183" si="156">IF($C133&lt;=$F$8,-W39,-W101)</f>
        <v>450000</v>
      </c>
      <c r="T164" s="51">
        <f>E164</f>
        <v>-900000</v>
      </c>
      <c r="U164" s="51">
        <f t="shared" ref="U164:U175" si="157">IF($F$27="yes",(R164+S164+T164)*((1+$F$17)^(1/4)-1),0)</f>
        <v>-2233.3192079417195</v>
      </c>
      <c r="V164" s="51">
        <f>-SUM(G164:I164)</f>
        <v>-75794.116399897175</v>
      </c>
      <c r="W164" s="51">
        <f ca="1">O164</f>
        <v>-452233.31920794153</v>
      </c>
      <c r="X164" s="51">
        <f ca="1">IF($C133&lt;$F$8,-AA40,-AA102)</f>
        <v>0</v>
      </c>
      <c r="Y164" s="51">
        <f t="shared" ref="Y164:Y175" ca="1" si="158">SUM(R164:X164)</f>
        <v>-980260.75481578044</v>
      </c>
      <c r="Z164" s="51">
        <f t="shared" ref="Z164:Z183" ca="1" si="159">ROUND(MAX(Y164,M133+U133),0)</f>
        <v>-980261</v>
      </c>
      <c r="AB164" s="51">
        <f t="shared" ref="AB164:AB183" ca="1" si="160">ROUND(M133+U133+AE133,2)</f>
        <v>833780.04</v>
      </c>
      <c r="AD164" s="51">
        <f t="shared" ref="AD164:AD175" ca="1" si="161">ABS(Z164-AB164)</f>
        <v>1814041.04</v>
      </c>
      <c r="AE164" s="93">
        <f t="shared" ref="AE164:AE175" ca="1" si="162">IFERROR(AD164/ABS(AB164),0)</f>
        <v>2.1756829774912818</v>
      </c>
      <c r="AG164" s="75"/>
    </row>
    <row r="165" spans="2:33" s="70" customFormat="1" outlineLevel="1" x14ac:dyDescent="0.55000000000000004">
      <c r="B165" s="1" t="s">
        <v>7</v>
      </c>
      <c r="C165" s="3">
        <v>2</v>
      </c>
      <c r="E165" s="51">
        <f t="shared" ref="E165:E183" si="163">IF(C165=1,Z40,J164)</f>
        <v>-828672.52201598627</v>
      </c>
      <c r="F165" s="51">
        <f t="shared" ref="F165:F175" si="164">IF($F$27="yes",E165*((1+$F$17)^(1/4)-1),0)</f>
        <v>-4112.645023359577</v>
      </c>
      <c r="G165" s="51">
        <f>-(E165+F165)*($F$26="time")*IFERROR(IF($F$27="yes",D41/SUM(D41:$D$59),1/COUNT(D41:$D$59)),0)</f>
        <v>0</v>
      </c>
      <c r="H165" s="51">
        <f>-(E165+F165)*($F$26="policies IF")*IFERROR(IF(C165&lt;$F$8,IF($F$27="yes",H41/SUM(H41:$H$59),F41/SUM(F41:$F$59)),IF($F$27="yes",H72/SUM(H72:$H$90),F72/SUM(F72:$F$90))),0)</f>
        <v>0</v>
      </c>
      <c r="I165" s="51">
        <f>-(E165+F165)*($F$26="risk")*IFERROR(IF(C165&lt;$F$8,IF($F$27="yes",R41/SUM(R41:$R$59),Q41/SUM(Q41:$Q$59)),IF($F$27="yes",R72/SUM(R72:$R$90),Q72/SUM(Q72:$Q$90))),0)</f>
        <v>71681.649597012787</v>
      </c>
      <c r="J165" s="51">
        <f t="shared" si="153"/>
        <v>-761103.51744233305</v>
      </c>
      <c r="K165" s="124"/>
      <c r="L165" s="51">
        <f ca="1">IF(C165=1,IF(F28="yes",-AD63-AH63,-W63-AA63),P164)</f>
        <v>4944359.0474816049</v>
      </c>
      <c r="M165" s="51">
        <f t="shared" ref="M165:M183" si="165">IF(C165=$F$8,AS71,0)</f>
        <v>0</v>
      </c>
      <c r="N165" s="51">
        <f t="shared" ref="N165:N175" ca="1" si="166">IF($F$27="yes",(L165+M165)*((1+$F$17)^(1/4)-1),0)</f>
        <v>24538.515626002431</v>
      </c>
      <c r="O165" s="51">
        <f ca="1">-(L165+M165+N165)*IFERROR(IF(C165&lt;$F$8,IF($F$24="yes",R41/SUM(R41:$R$60),Q41/SUM(Q41:$Q$60)),IF($F$24="yes",R72/SUM(R72:$R$90),Q72/SUM(Q72:$Q$90))),0)</f>
        <v>-427695.86695256562</v>
      </c>
      <c r="P165" s="51">
        <f t="shared" ca="1" si="154"/>
        <v>4541201.6961550415</v>
      </c>
      <c r="Q165" s="124"/>
      <c r="R165" s="51">
        <f t="shared" ca="1" si="155"/>
        <v>-980260.75481578044</v>
      </c>
      <c r="S165" s="51">
        <f t="shared" si="156"/>
        <v>425583.72405142913</v>
      </c>
      <c r="T165" s="51">
        <f t="shared" ref="T165:T183" si="167">-Z40</f>
        <v>0</v>
      </c>
      <c r="U165" s="51">
        <f t="shared" ca="1" si="157"/>
        <v>-2752.824148911347</v>
      </c>
      <c r="V165" s="51">
        <f t="shared" ref="V165:V175" si="168">-SUM(G165:I165)</f>
        <v>-71681.649597012787</v>
      </c>
      <c r="W165" s="51">
        <f t="shared" ref="W165:W175" ca="1" si="169">O165</f>
        <v>-427695.86695256562</v>
      </c>
      <c r="X165" s="51">
        <f t="shared" ref="X165:X183" ca="1" si="170">IF($C134&lt;$F$8,-AA41,-AA103)</f>
        <v>0</v>
      </c>
      <c r="Y165" s="51">
        <f t="shared" ca="1" si="158"/>
        <v>-1056807.3714628411</v>
      </c>
      <c r="Z165" s="51">
        <f t="shared" ca="1" si="159"/>
        <v>-1056807</v>
      </c>
      <c r="AB165" s="51">
        <f t="shared" ca="1" si="160"/>
        <v>770433.64</v>
      </c>
      <c r="AD165" s="51">
        <f t="shared" ca="1" si="161"/>
        <v>1827240.6400000001</v>
      </c>
      <c r="AE165" s="93">
        <f t="shared" ca="1" si="162"/>
        <v>2.3717041223693194</v>
      </c>
      <c r="AG165" s="75"/>
    </row>
    <row r="166" spans="2:33" s="70" customFormat="1" outlineLevel="1" x14ac:dyDescent="0.55000000000000004">
      <c r="B166" s="1" t="s">
        <v>8</v>
      </c>
      <c r="C166" s="3">
        <v>3</v>
      </c>
      <c r="E166" s="51">
        <f t="shared" si="163"/>
        <v>-761103.51744233305</v>
      </c>
      <c r="F166" s="51">
        <f t="shared" si="164"/>
        <v>-3777.3046771910404</v>
      </c>
      <c r="G166" s="51">
        <f>-(E166+F166)*($F$26="time")*IFERROR(IF($F$27="yes",D42/SUM(D42:$D$59),1/COUNT(D42:$D$59)),0)</f>
        <v>0</v>
      </c>
      <c r="H166" s="51">
        <f>-(E166+F166)*($F$26="policies IF")*IFERROR(IF(C166&lt;$F$8,IF($F$27="yes",H42/SUM(H42:$H$59),F42/SUM(F42:$F$59)),IF($F$27="yes",H73/SUM(H73:$H$90),F73/SUM(F73:$F$90))),0)</f>
        <v>0</v>
      </c>
      <c r="I166" s="51">
        <f>-(E166+F166)*($F$26="risk")*IFERROR(IF(C166&lt;$F$8,IF($F$27="yes",R42/SUM(R42:$R$59),Q42/SUM(Q42:$Q$59)),IF($F$27="yes",R73/SUM(R73:$R$90),Q73/SUM(Q73:$Q$90))),0)</f>
        <v>67792.318625880696</v>
      </c>
      <c r="J166" s="51">
        <f t="shared" si="153"/>
        <v>-697088.50349364337</v>
      </c>
      <c r="K166" s="124"/>
      <c r="L166" s="51">
        <f ca="1">IF(C166=1,IF(F30="yes",-AD65-AH65,-W65-AA65),P165)</f>
        <v>4541201.6961550415</v>
      </c>
      <c r="M166" s="51">
        <f t="shared" si="165"/>
        <v>0</v>
      </c>
      <c r="N166" s="51">
        <f t="shared" ca="1" si="166"/>
        <v>22537.673278134604</v>
      </c>
      <c r="O166" s="51">
        <f ca="1">-(L166+M166+N166)*IFERROR(IF(C166&lt;$F$8,IF($F$24="yes",R42/SUM(R42:$R$60),Q42/SUM(Q42:$Q$60)),IF($F$24="yes",R73/SUM(R73:$R$90),Q73/SUM(Q73:$Q$90))),0)</f>
        <v>-404489.77737572748</v>
      </c>
      <c r="P166" s="51">
        <f t="shared" ca="1" si="154"/>
        <v>4159249.5920574483</v>
      </c>
      <c r="Q166" s="124"/>
      <c r="R166" s="51">
        <f t="shared" ca="1" si="155"/>
        <v>-1056807.3714628411</v>
      </c>
      <c r="S166" s="51">
        <f t="shared" si="156"/>
        <v>402492.23594996211</v>
      </c>
      <c r="T166" s="51">
        <f t="shared" si="167"/>
        <v>0</v>
      </c>
      <c r="U166" s="51">
        <f t="shared" ca="1" si="157"/>
        <v>-3247.3212448620038</v>
      </c>
      <c r="V166" s="51">
        <f t="shared" si="168"/>
        <v>-67792.318625880696</v>
      </c>
      <c r="W166" s="51">
        <f t="shared" ca="1" si="169"/>
        <v>-404489.77737572748</v>
      </c>
      <c r="X166" s="51">
        <f t="shared" ca="1" si="170"/>
        <v>0</v>
      </c>
      <c r="Y166" s="51">
        <f t="shared" ca="1" si="158"/>
        <v>-1129844.5527593491</v>
      </c>
      <c r="Z166" s="51">
        <f t="shared" ca="1" si="159"/>
        <v>-1010995</v>
      </c>
      <c r="AB166" s="51">
        <f t="shared" ca="1" si="160"/>
        <v>709834.18</v>
      </c>
      <c r="AD166" s="51">
        <f t="shared" ca="1" si="161"/>
        <v>1720829.1800000002</v>
      </c>
      <c r="AE166" s="93">
        <f t="shared" ca="1" si="162"/>
        <v>2.4242692568002293</v>
      </c>
      <c r="AG166" s="75"/>
    </row>
    <row r="167" spans="2:33" s="70" customFormat="1" outlineLevel="1" x14ac:dyDescent="0.55000000000000004">
      <c r="B167" s="1" t="s">
        <v>9</v>
      </c>
      <c r="C167" s="3">
        <v>4</v>
      </c>
      <c r="E167" s="51">
        <f t="shared" si="163"/>
        <v>-697088.50349364337</v>
      </c>
      <c r="F167" s="51">
        <f t="shared" si="164"/>
        <v>-3459.6025433060049</v>
      </c>
      <c r="G167" s="51">
        <f>-(E167+F167)*($F$26="time")*IFERROR(IF($F$27="yes",D43/SUM(D43:$D$59),1/COUNT(D43:$D$59)),0)</f>
        <v>0</v>
      </c>
      <c r="H167" s="51">
        <f>-(E167+F167)*($F$26="policies IF")*IFERROR(IF(C167&lt;$F$8,IF($F$27="yes",H43/SUM(H43:$H$59),F43/SUM(F43:$F$59)),IF($F$27="yes",H74/SUM(H74:$H$90),F74/SUM(F74:$F$90))),0)</f>
        <v>0</v>
      </c>
      <c r="I167" s="51">
        <f>-(E167+F167)*($F$26="risk")*IFERROR(IF(C167&lt;$F$8,IF($F$27="yes",R43/SUM(R43:$R$59),Q43/SUM(Q43:$Q$59)),IF($F$27="yes",R74/SUM(R74:$R$90),Q74/SUM(Q74:$Q$90))),0)</f>
        <v>64114.01649529639</v>
      </c>
      <c r="J167" s="51">
        <f t="shared" si="153"/>
        <v>-636434.08954165294</v>
      </c>
      <c r="K167" s="124"/>
      <c r="L167" s="51">
        <f ca="1">IF(C167=1,IF(F31="yes",-AD66-AH66,-W66-AA66),P166)</f>
        <v>4159249.5920574483</v>
      </c>
      <c r="M167" s="51">
        <f t="shared" si="165"/>
        <v>0</v>
      </c>
      <c r="N167" s="51">
        <f t="shared" ca="1" si="166"/>
        <v>20642.071121257024</v>
      </c>
      <c r="O167" s="51">
        <f ca="1">-(L167+M167+N167)*IFERROR(IF(C167&lt;$F$8,IF($F$24="yes",R43/SUM(R43:$R$60),Q43/SUM(Q43:$Q$60)),IF($F$24="yes",R74/SUM(R74:$R$90),Q74/SUM(Q74:$Q$90))),0)</f>
        <v>-382542.81288065697</v>
      </c>
      <c r="P167" s="51">
        <f t="shared" ca="1" si="154"/>
        <v>3797348.850298048</v>
      </c>
      <c r="Q167" s="124"/>
      <c r="R167" s="51">
        <f t="shared" ca="1" si="155"/>
        <v>-1129844.5527593491</v>
      </c>
      <c r="S167" s="51">
        <f t="shared" si="156"/>
        <v>380653.65483860305</v>
      </c>
      <c r="T167" s="51">
        <f t="shared" si="167"/>
        <v>0</v>
      </c>
      <c r="U167" s="51">
        <f t="shared" ca="1" si="157"/>
        <v>-3718.1831616477921</v>
      </c>
      <c r="V167" s="51">
        <f t="shared" si="168"/>
        <v>-64114.01649529639</v>
      </c>
      <c r="W167" s="51">
        <f t="shared" ca="1" si="169"/>
        <v>-382542.81288065697</v>
      </c>
      <c r="X167" s="51">
        <f t="shared" ca="1" si="170"/>
        <v>0</v>
      </c>
      <c r="Y167" s="51">
        <f t="shared" ca="1" si="158"/>
        <v>-1199565.9104583473</v>
      </c>
      <c r="Z167" s="51">
        <f t="shared" ca="1" si="159"/>
        <v>-919237</v>
      </c>
      <c r="AB167" s="51">
        <f t="shared" ca="1" si="160"/>
        <v>651860.34</v>
      </c>
      <c r="AD167" s="51">
        <f t="shared" ca="1" si="161"/>
        <v>1571097.3399999999</v>
      </c>
      <c r="AE167" s="93">
        <f t="shared" ca="1" si="162"/>
        <v>2.4101747622811351</v>
      </c>
      <c r="AG167" s="75"/>
    </row>
    <row r="168" spans="2:33" s="70" customFormat="1" outlineLevel="1" x14ac:dyDescent="0.55000000000000004">
      <c r="B168" s="1" t="s">
        <v>16</v>
      </c>
      <c r="C168" s="3">
        <v>5</v>
      </c>
      <c r="E168" s="51">
        <f t="shared" si="163"/>
        <v>-636434.08954165294</v>
      </c>
      <c r="F168" s="51">
        <f t="shared" si="164"/>
        <v>-3158.5788372494976</v>
      </c>
      <c r="G168" s="51">
        <f>-(E168+F168)*($F$26="time")*IFERROR(IF($F$27="yes",D44/SUM(D44:$D$59),1/COUNT(D44:$D$59)),0)</f>
        <v>0</v>
      </c>
      <c r="H168" s="51">
        <f>-(E168+F168)*($F$26="policies IF")*IFERROR(IF(C168&lt;$F$8,IF($F$27="yes",H44/SUM(H44:$H$59),F44/SUM(F44:$F$59)),IF($F$27="yes",H75/SUM(H75:$H$90),F75/SUM(F75:$F$90))),0)</f>
        <v>0</v>
      </c>
      <c r="I168" s="51">
        <f>-(E168+F168)*($F$26="risk")*IFERROR(IF(C168&lt;$F$8,IF($F$27="yes",R44/SUM(R44:$R$59),Q44/SUM(Q44:$Q$59)),IF($F$27="yes",R75/SUM(R75:$R$90),Q75/SUM(Q75:$Q$90))),0)</f>
        <v>60635.293119917762</v>
      </c>
      <c r="J168" s="51">
        <f t="shared" si="153"/>
        <v>-578957.37525898474</v>
      </c>
      <c r="K168" s="124"/>
      <c r="L168" s="51">
        <f t="shared" ref="L168:L183" ca="1" si="171">IF(C168=1,IF(F34="yes",-AD67-AH67,-W67-AA67),P167)</f>
        <v>3797348.850298048</v>
      </c>
      <c r="M168" s="51">
        <f t="shared" si="165"/>
        <v>0</v>
      </c>
      <c r="N168" s="51">
        <f t="shared" ca="1" si="166"/>
        <v>18845.982503613413</v>
      </c>
      <c r="O168" s="51">
        <f ca="1">-(L168+M168+N168)*IFERROR(IF(C168&lt;$F$8,IF($F$24="yes",R44/SUM(R44:$R$60),Q44/SUM(Q44:$Q$60)),IF($F$24="yes",R75/SUM(R75:$R$90),Q75/SUM(Q75:$Q$90))),0)</f>
        <v>-361786.65536635328</v>
      </c>
      <c r="P168" s="51">
        <f t="shared" ca="1" si="154"/>
        <v>3454408.1774353082</v>
      </c>
      <c r="Q168" s="124"/>
      <c r="R168" s="51">
        <f t="shared" ca="1" si="155"/>
        <v>-1199565.9104583473</v>
      </c>
      <c r="S168" s="51">
        <f t="shared" si="156"/>
        <v>360000</v>
      </c>
      <c r="T168" s="51">
        <f t="shared" si="167"/>
        <v>0</v>
      </c>
      <c r="U168" s="51">
        <f t="shared" ca="1" si="157"/>
        <v>-4166.7081647993446</v>
      </c>
      <c r="V168" s="51">
        <f t="shared" si="168"/>
        <v>-60635.293119917762</v>
      </c>
      <c r="W168" s="51">
        <f t="shared" ca="1" si="169"/>
        <v>-361786.65536635328</v>
      </c>
      <c r="X168" s="51">
        <f t="shared" ca="1" si="170"/>
        <v>0</v>
      </c>
      <c r="Y168" s="51">
        <f t="shared" ca="1" si="158"/>
        <v>-1266154.5671094176</v>
      </c>
      <c r="Z168" s="51">
        <f t="shared" ca="1" si="159"/>
        <v>-832815</v>
      </c>
      <c r="AB168" s="51">
        <f t="shared" ca="1" si="160"/>
        <v>596395.92000000004</v>
      </c>
      <c r="AD168" s="51">
        <f t="shared" ca="1" si="161"/>
        <v>1429210.92</v>
      </c>
      <c r="AE168" s="93">
        <f t="shared" ca="1" si="162"/>
        <v>2.3964129734489128</v>
      </c>
      <c r="AG168" s="75"/>
    </row>
    <row r="169" spans="2:33" s="70" customFormat="1" outlineLevel="1" x14ac:dyDescent="0.55000000000000004">
      <c r="B169" s="1" t="s">
        <v>17</v>
      </c>
      <c r="C169" s="3">
        <v>6</v>
      </c>
      <c r="E169" s="51">
        <f t="shared" si="163"/>
        <v>-578957.37525898474</v>
      </c>
      <c r="F169" s="51">
        <f t="shared" si="164"/>
        <v>-2873.3258372120285</v>
      </c>
      <c r="G169" s="51">
        <f>-(E169+F169)*($F$26="time")*IFERROR(IF($F$27="yes",D45/SUM(D45:$D$59),1/COUNT(D45:$D$59)),0)</f>
        <v>0</v>
      </c>
      <c r="H169" s="51">
        <f>-(E169+F169)*($F$26="policies IF")*IFERROR(IF(C169&lt;$F$8,IF($F$27="yes",H45/SUM(H45:$H$59),F45/SUM(F45:$F$59)),IF($F$27="yes",H76/SUM(H76:$H$90),F76/SUM(F76:$F$90))),0)</f>
        <v>0</v>
      </c>
      <c r="I169" s="51">
        <f>-(E169+F169)*($F$26="risk")*IFERROR(IF(C169&lt;$F$8,IF($F$27="yes",R45/SUM(R45:$R$59),Q45/SUM(Q45:$Q$59)),IF($F$27="yes",R76/SUM(R76:$R$90),Q76/SUM(Q76:$Q$90))),0)</f>
        <v>57345.319677610234</v>
      </c>
      <c r="J169" s="51">
        <f t="shared" si="153"/>
        <v>-524485.38141858659</v>
      </c>
      <c r="K169" s="124"/>
      <c r="L169" s="51">
        <f t="shared" ca="1" si="171"/>
        <v>3454408.1774353082</v>
      </c>
      <c r="M169" s="51">
        <f t="shared" si="165"/>
        <v>0</v>
      </c>
      <c r="N169" s="51">
        <f t="shared" ca="1" si="166"/>
        <v>17143.99141052716</v>
      </c>
      <c r="O169" s="51">
        <f ca="1">-(L169+M169+N169)*IFERROR(IF(C169&lt;$F$8,IF($F$24="yes",R45/SUM(R45:$R$60),Q45/SUM(Q45:$Q$60)),IF($F$24="yes",R76/SUM(R76:$R$90),Q76/SUM(Q76:$Q$90))),0)</f>
        <v>-342156.69356205256</v>
      </c>
      <c r="P169" s="51">
        <f t="shared" ca="1" si="154"/>
        <v>3129395.4752837829</v>
      </c>
      <c r="Q169" s="124"/>
      <c r="R169" s="51">
        <f t="shared" ca="1" si="155"/>
        <v>-1266154.5671094176</v>
      </c>
      <c r="S169" s="51">
        <f t="shared" si="156"/>
        <v>340466.97924114333</v>
      </c>
      <c r="T169" s="51">
        <f t="shared" si="167"/>
        <v>0</v>
      </c>
      <c r="U169" s="51">
        <f t="shared" ca="1" si="157"/>
        <v>-4594.1241567543457</v>
      </c>
      <c r="V169" s="51">
        <f t="shared" si="168"/>
        <v>-57345.319677610234</v>
      </c>
      <c r="W169" s="51">
        <f t="shared" ca="1" si="169"/>
        <v>-342156.69356205256</v>
      </c>
      <c r="X169" s="51">
        <f t="shared" ca="1" si="170"/>
        <v>0</v>
      </c>
      <c r="Y169" s="51">
        <f t="shared" ca="1" si="158"/>
        <v>-1329783.7252646913</v>
      </c>
      <c r="Z169" s="51">
        <f t="shared" ca="1" si="159"/>
        <v>-751412</v>
      </c>
      <c r="AB169" s="51">
        <f t="shared" ca="1" si="160"/>
        <v>543329.6</v>
      </c>
      <c r="AD169" s="51">
        <f t="shared" ca="1" si="161"/>
        <v>1294741.6000000001</v>
      </c>
      <c r="AE169" s="93">
        <f t="shared" ca="1" si="162"/>
        <v>2.3829763738253908</v>
      </c>
      <c r="AG169" s="75"/>
    </row>
    <row r="170" spans="2:33" s="70" customFormat="1" outlineLevel="1" x14ac:dyDescent="0.55000000000000004">
      <c r="B170" s="1" t="s">
        <v>18</v>
      </c>
      <c r="C170" s="3">
        <v>7</v>
      </c>
      <c r="E170" s="51">
        <f t="shared" si="163"/>
        <v>-524485.38141858659</v>
      </c>
      <c r="F170" s="51">
        <f t="shared" si="164"/>
        <v>-2602.9850591261525</v>
      </c>
      <c r="G170" s="51">
        <f>-(E170+F170)*($F$26="time")*IFERROR(IF($F$27="yes",D46/SUM(D46:$D$59),1/COUNT(D46:$D$59)),0)</f>
        <v>0</v>
      </c>
      <c r="H170" s="51">
        <f>-(E170+F170)*($F$26="policies IF")*IFERROR(IF(C170&lt;$F$8,IF($F$27="yes",H46/SUM(H46:$H$59),F46/SUM(F46:$F$59)),IF($F$27="yes",H77/SUM(H77:$H$90),F77/SUM(F77:$F$90))),0)</f>
        <v>0</v>
      </c>
      <c r="I170" s="51">
        <f>-(E170+F170)*($F$26="risk")*IFERROR(IF(C170&lt;$F$8,IF($F$27="yes",R46/SUM(R46:$R$59),Q46/SUM(Q46:$Q$59)),IF($F$27="yes",R77/SUM(R77:$R$90),Q77/SUM(Q77:$Q$90))),0)</f>
        <v>42322.009402615658</v>
      </c>
      <c r="J170" s="51">
        <f t="shared" si="153"/>
        <v>-484766.3570750971</v>
      </c>
      <c r="K170" s="124"/>
      <c r="L170" s="51">
        <f t="shared" ca="1" si="171"/>
        <v>3129395.4752837829</v>
      </c>
      <c r="M170" s="51">
        <f t="shared" ca="1" si="165"/>
        <v>1232456.9429092747</v>
      </c>
      <c r="N170" s="51">
        <f t="shared" ca="1" si="166"/>
        <v>21647.575083905762</v>
      </c>
      <c r="O170" s="51">
        <f ca="1">-(L170+M170+N170)*IFERROR(IF(C170&lt;$F$8,IF($F$24="yes",R46/SUM(R46:$R$60),Q46/SUM(Q46:$Q$60)),IF($F$24="yes",R77/SUM(R77:$R$90),Q77/SUM(Q77:$Q$90))),0)</f>
        <v>-351968.5497359155</v>
      </c>
      <c r="P170" s="51">
        <f t="shared" ca="1" si="154"/>
        <v>4031531.4435410476</v>
      </c>
      <c r="Q170" s="124"/>
      <c r="R170" s="51">
        <f t="shared" ca="1" si="155"/>
        <v>-1329783.7252646913</v>
      </c>
      <c r="S170" s="51">
        <f t="shared" si="156"/>
        <v>321993.7887599697</v>
      </c>
      <c r="T170" s="51">
        <f t="shared" si="167"/>
        <v>0</v>
      </c>
      <c r="U170" s="51">
        <f t="shared" ca="1" si="157"/>
        <v>-5001.5924950363578</v>
      </c>
      <c r="V170" s="51">
        <f t="shared" si="168"/>
        <v>-42322.009402615658</v>
      </c>
      <c r="W170" s="51">
        <f t="shared" ca="1" si="169"/>
        <v>-351968.5497359155</v>
      </c>
      <c r="X170" s="51">
        <f t="shared" ca="1" si="170"/>
        <v>0</v>
      </c>
      <c r="Y170" s="51">
        <f t="shared" ca="1" si="158"/>
        <v>-1407082.0881382893</v>
      </c>
      <c r="Z170" s="51">
        <f t="shared" ca="1" si="159"/>
        <v>-1407082</v>
      </c>
      <c r="AB170" s="51">
        <f t="shared" ca="1" si="160"/>
        <v>497979.95</v>
      </c>
      <c r="AD170" s="51">
        <f t="shared" ca="1" si="161"/>
        <v>1905061.95</v>
      </c>
      <c r="AE170" s="93">
        <f t="shared" ca="1" si="162"/>
        <v>3.8255796242398916</v>
      </c>
      <c r="AG170" s="75"/>
    </row>
    <row r="171" spans="2:33" s="70" customFormat="1" outlineLevel="1" x14ac:dyDescent="0.55000000000000004">
      <c r="B171" s="1" t="s">
        <v>19</v>
      </c>
      <c r="C171" s="3">
        <v>8</v>
      </c>
      <c r="E171" s="51">
        <f t="shared" si="163"/>
        <v>-484766.3570750971</v>
      </c>
      <c r="F171" s="51">
        <f t="shared" si="164"/>
        <v>-2405.862259154997</v>
      </c>
      <c r="G171" s="51">
        <f>-(E171+F171)*($F$26="time")*IFERROR(IF($F$27="yes",D47/SUM(D47:$D$59),1/COUNT(D47:$D$59)),0)</f>
        <v>0</v>
      </c>
      <c r="H171" s="51">
        <f>-(E171+F171)*($F$26="policies IF")*IFERROR(IF(C171&lt;$F$8,IF($F$27="yes",H47/SUM(H47:$H$59),F47/SUM(F47:$F$59)),IF($F$27="yes",H78/SUM(H78:$H$90),F78/SUM(F78:$F$90))),0)</f>
        <v>0</v>
      </c>
      <c r="I171" s="51">
        <f>-(E171+F171)*($F$26="risk")*IFERROR(IF(C171&lt;$F$8,IF($F$27="yes",R47/SUM(R47:$R$59),Q47/SUM(Q47:$Q$59)),IF($F$27="yes",R78/SUM(R78:$R$90),Q78/SUM(Q78:$Q$90))),0)</f>
        <v>44905.879809241691</v>
      </c>
      <c r="J171" s="51">
        <f t="shared" si="153"/>
        <v>-442266.33952501044</v>
      </c>
      <c r="K171" s="124"/>
      <c r="L171" s="51">
        <f t="shared" ca="1" si="171"/>
        <v>4031531.4435410476</v>
      </c>
      <c r="M171" s="51">
        <f t="shared" si="165"/>
        <v>0</v>
      </c>
      <c r="N171" s="51">
        <f t="shared" ca="1" si="166"/>
        <v>20008.214689513847</v>
      </c>
      <c r="O171" s="51">
        <f ca="1">-(L171+M171+N171)*IFERROR(IF(C171&lt;$F$8,IF($F$24="yes",R47/SUM(R47:$R$60),Q47/SUM(Q47:$Q$60)),IF($F$24="yes",R78/SUM(R78:$R$90),Q78/SUM(Q78:$Q$90))),0)</f>
        <v>-373457.15891498502</v>
      </c>
      <c r="P171" s="51">
        <f t="shared" ca="1" si="154"/>
        <v>3678082.4993155762</v>
      </c>
      <c r="Q171" s="124"/>
      <c r="R171" s="51">
        <f t="shared" ca="1" si="155"/>
        <v>-1407082.0881382893</v>
      </c>
      <c r="S171" s="51">
        <f t="shared" si="156"/>
        <v>374228.54002128431</v>
      </c>
      <c r="T171" s="51">
        <f t="shared" si="167"/>
        <v>0</v>
      </c>
      <c r="U171" s="51">
        <f t="shared" ca="1" si="157"/>
        <v>-5125.9814844454768</v>
      </c>
      <c r="V171" s="51">
        <f t="shared" si="168"/>
        <v>-44905.879809241691</v>
      </c>
      <c r="W171" s="51">
        <f t="shared" ca="1" si="169"/>
        <v>-373457.15891498502</v>
      </c>
      <c r="X171" s="51">
        <f t="shared" ca="1" si="170"/>
        <v>0</v>
      </c>
      <c r="Y171" s="51">
        <f t="shared" ca="1" si="158"/>
        <v>-1456342.5683256774</v>
      </c>
      <c r="Z171" s="51">
        <f t="shared" ca="1" si="159"/>
        <v>-1451109</v>
      </c>
      <c r="AB171" s="51">
        <f t="shared" ca="1" si="160"/>
        <v>457227.98</v>
      </c>
      <c r="AD171" s="51">
        <f t="shared" ca="1" si="161"/>
        <v>1908336.98</v>
      </c>
      <c r="AE171" s="93">
        <f t="shared" ca="1" si="162"/>
        <v>4.173709972867365</v>
      </c>
      <c r="AG171" s="75"/>
    </row>
    <row r="172" spans="2:33" s="70" customFormat="1" outlineLevel="1" x14ac:dyDescent="0.55000000000000004">
      <c r="B172" s="1" t="s">
        <v>20</v>
      </c>
      <c r="C172" s="3">
        <v>9</v>
      </c>
      <c r="E172" s="51">
        <f t="shared" si="163"/>
        <v>-442266.33952501044</v>
      </c>
      <c r="F172" s="51">
        <f t="shared" si="164"/>
        <v>-2194.9375801939555</v>
      </c>
      <c r="G172" s="51">
        <f>-(E172+F172)*($F$26="time")*IFERROR(IF($F$27="yes",D48/SUM(D48:$D$59),1/COUNT(D48:$D$59)),0)</f>
        <v>0</v>
      </c>
      <c r="H172" s="51">
        <f>-(E172+F172)*($F$26="policies IF")*IFERROR(IF(C172&lt;$F$8,IF($F$27="yes",H48/SUM(H48:$H$59),F48/SUM(F48:$F$59)),IF($F$27="yes",H79/SUM(H79:$H$90),F79/SUM(F79:$F$90))),0)</f>
        <v>0</v>
      </c>
      <c r="I172" s="51">
        <f>-(E172+F172)*($F$26="risk")*IFERROR(IF(C172&lt;$F$8,IF($F$27="yes",R48/SUM(R48:$R$59),Q48/SUM(Q48:$Q$59)),IF($F$27="yes",R79/SUM(R79:$R$90),Q79/SUM(Q79:$Q$90))),0)</f>
        <v>43738.495170725517</v>
      </c>
      <c r="J172" s="51">
        <f t="shared" si="153"/>
        <v>-400722.7819344789</v>
      </c>
      <c r="K172" s="124"/>
      <c r="L172" s="51">
        <f t="shared" ca="1" si="171"/>
        <v>3678082.4993155762</v>
      </c>
      <c r="M172" s="51">
        <f t="shared" si="165"/>
        <v>0</v>
      </c>
      <c r="N172" s="51">
        <f t="shared" ca="1" si="166"/>
        <v>18254.071764701697</v>
      </c>
      <c r="O172" s="51">
        <f ca="1">-(L172+M172+N172)*IFERROR(IF(C172&lt;$F$8,IF($F$24="yes",R48/SUM(R48:$R$60),Q48/SUM(Q48:$Q$60)),IF($F$24="yes",R79/SUM(R79:$R$90),Q79/SUM(Q79:$Q$90))),0)</f>
        <v>-363748.67191254301</v>
      </c>
      <c r="P172" s="51">
        <f t="shared" ca="1" si="154"/>
        <v>3332587.8991677347</v>
      </c>
      <c r="Q172" s="124"/>
      <c r="R172" s="51">
        <f t="shared" ca="1" si="155"/>
        <v>-1456342.5683256774</v>
      </c>
      <c r="S172" s="51">
        <f t="shared" si="156"/>
        <v>364500</v>
      </c>
      <c r="T172" s="51">
        <f t="shared" si="167"/>
        <v>0</v>
      </c>
      <c r="U172" s="51">
        <f t="shared" ca="1" si="157"/>
        <v>-5418.7399553114556</v>
      </c>
      <c r="V172" s="51">
        <f t="shared" si="168"/>
        <v>-43738.495170725517</v>
      </c>
      <c r="W172" s="51">
        <f t="shared" ca="1" si="169"/>
        <v>-363748.67191254301</v>
      </c>
      <c r="X172" s="51">
        <f t="shared" ca="1" si="170"/>
        <v>0</v>
      </c>
      <c r="Y172" s="51">
        <f t="shared" ca="1" si="158"/>
        <v>-1504748.4753642573</v>
      </c>
      <c r="Z172" s="51">
        <f t="shared" ca="1" si="159"/>
        <v>-1312166</v>
      </c>
      <c r="AB172" s="51">
        <f t="shared" ca="1" si="160"/>
        <v>416915.09</v>
      </c>
      <c r="AD172" s="51">
        <f t="shared" ca="1" si="161"/>
        <v>1729081.09</v>
      </c>
      <c r="AE172" s="93">
        <f t="shared" ca="1" si="162"/>
        <v>4.1473219163163417</v>
      </c>
      <c r="AG172" s="75"/>
    </row>
    <row r="173" spans="2:33" s="70" customFormat="1" outlineLevel="1" x14ac:dyDescent="0.55000000000000004">
      <c r="B173" s="1" t="s">
        <v>21</v>
      </c>
      <c r="C173" s="3">
        <v>10</v>
      </c>
      <c r="E173" s="51">
        <f t="shared" si="163"/>
        <v>-400722.7819344789</v>
      </c>
      <c r="F173" s="51">
        <f t="shared" si="164"/>
        <v>-1988.7597465646952</v>
      </c>
      <c r="G173" s="51">
        <f>-(E173+F173)*($F$26="time")*IFERROR(IF($F$27="yes",D49/SUM(D49:$D$59),1/COUNT(D49:$D$59)),0)</f>
        <v>0</v>
      </c>
      <c r="H173" s="51">
        <f>-(E173+F173)*($F$26="policies IF")*IFERROR(IF(C173&lt;$F$8,IF($F$27="yes",H49/SUM(H49:$H$59),F49/SUM(F49:$F$59)),IF($F$27="yes",H80/SUM(H80:$H$90),F80/SUM(F80:$F$90))),0)</f>
        <v>0</v>
      </c>
      <c r="I173" s="51">
        <f>-(E173+F173)*($F$26="risk")*IFERROR(IF(C173&lt;$F$8,IF($F$27="yes",R49/SUM(R49:$R$59),Q49/SUM(Q49:$Q$59)),IF($F$27="yes",R80/SUM(R80:$R$90),Q80/SUM(Q80:$Q$90))),0)</f>
        <v>42601.458159291389</v>
      </c>
      <c r="J173" s="51">
        <f t="shared" si="153"/>
        <v>-360110.08352175215</v>
      </c>
      <c r="K173" s="124"/>
      <c r="L173" s="51">
        <f t="shared" ca="1" si="171"/>
        <v>3332587.8991677347</v>
      </c>
      <c r="M173" s="51">
        <f t="shared" si="165"/>
        <v>0</v>
      </c>
      <c r="N173" s="51">
        <f t="shared" ca="1" si="166"/>
        <v>16539.405705256544</v>
      </c>
      <c r="O173" s="51">
        <f ca="1">-(L173+M173+N173)*IFERROR(IF(C173&lt;$F$8,IF($F$24="yes",R49/SUM(R49:$R$60),Q49/SUM(Q49:$Q$60)),IF($F$24="yes",R80/SUM(R80:$R$90),Q80/SUM(Q80:$Q$90))),0)</f>
        <v>-354292.56920004287</v>
      </c>
      <c r="P173" s="51">
        <f t="shared" ca="1" si="154"/>
        <v>2994834.735672948</v>
      </c>
      <c r="Q173" s="124"/>
      <c r="R173" s="51">
        <f t="shared" ca="1" si="155"/>
        <v>-1504748.4753642573</v>
      </c>
      <c r="S173" s="51">
        <f t="shared" si="156"/>
        <v>355024.3655720207</v>
      </c>
      <c r="T173" s="51">
        <f t="shared" si="167"/>
        <v>0</v>
      </c>
      <c r="U173" s="51">
        <f t="shared" ca="1" si="157"/>
        <v>-5706.0020849615485</v>
      </c>
      <c r="V173" s="51">
        <f t="shared" si="168"/>
        <v>-42601.458159291389</v>
      </c>
      <c r="W173" s="51">
        <f t="shared" ca="1" si="169"/>
        <v>-354292.56920004287</v>
      </c>
      <c r="X173" s="51">
        <f t="shared" ca="1" si="170"/>
        <v>0</v>
      </c>
      <c r="Y173" s="51">
        <f t="shared" ca="1" si="158"/>
        <v>-1552324.1392365326</v>
      </c>
      <c r="Z173" s="51">
        <f t="shared" ca="1" si="159"/>
        <v>-1176808</v>
      </c>
      <c r="AB173" s="51">
        <f t="shared" ca="1" si="160"/>
        <v>377032.49</v>
      </c>
      <c r="AD173" s="51">
        <f t="shared" ca="1" si="161"/>
        <v>1553840.49</v>
      </c>
      <c r="AE173" s="93">
        <f t="shared" ca="1" si="162"/>
        <v>4.1212376418806773</v>
      </c>
      <c r="AG173" s="75"/>
    </row>
    <row r="174" spans="2:33" s="70" customFormat="1" outlineLevel="1" x14ac:dyDescent="0.55000000000000004">
      <c r="B174" s="1" t="s">
        <v>22</v>
      </c>
      <c r="C174" s="3">
        <v>11</v>
      </c>
      <c r="E174" s="51">
        <f t="shared" si="163"/>
        <v>-360110.08352175215</v>
      </c>
      <c r="F174" s="51">
        <f t="shared" si="164"/>
        <v>-1787.2017033391689</v>
      </c>
      <c r="G174" s="51">
        <f>-(E174+F174)*($F$26="time")*IFERROR(IF($F$27="yes",D50/SUM(D50:$D$59),1/COUNT(D50:$D$59)),0)</f>
        <v>0</v>
      </c>
      <c r="H174" s="51">
        <f>-(E174+F174)*($F$26="policies IF")*IFERROR(IF(C174&lt;$F$8,IF($F$27="yes",H50/SUM(H50:$H$59),F50/SUM(F50:$F$59)),IF($F$27="yes",H81/SUM(H81:$H$90),F81/SUM(F81:$F$90))),0)</f>
        <v>0</v>
      </c>
      <c r="I174" s="51">
        <f>-(E174+F174)*($F$26="risk")*IFERROR(IF(C174&lt;$F$8,IF($F$27="yes",R50/SUM(R50:$R$59),Q50/SUM(Q50:$Q$59)),IF($F$27="yes",R81/SUM(R81:$R$90),Q81/SUM(Q81:$Q$90))),0)</f>
        <v>41493.979850330346</v>
      </c>
      <c r="J174" s="51">
        <f t="shared" si="153"/>
        <v>-320403.305374761</v>
      </c>
      <c r="K174" s="124"/>
      <c r="L174" s="51">
        <f t="shared" ca="1" si="171"/>
        <v>2994834.735672948</v>
      </c>
      <c r="M174" s="51">
        <f t="shared" si="165"/>
        <v>0</v>
      </c>
      <c r="N174" s="51">
        <f t="shared" ca="1" si="166"/>
        <v>14863.159866198794</v>
      </c>
      <c r="O174" s="51">
        <f ca="1">-(L174+M174+N174)*IFERROR(IF(C174&lt;$F$8,IF($F$24="yes",R50/SUM(R50:$R$60),Q50/SUM(Q50:$Q$60)),IF($F$24="yes",R81/SUM(R81:$R$90),Q81/SUM(Q81:$Q$90))),0)</f>
        <v>-345082.28973148548</v>
      </c>
      <c r="P174" s="51">
        <f t="shared" ca="1" si="154"/>
        <v>2664615.6058076615</v>
      </c>
      <c r="Q174" s="124"/>
      <c r="R174" s="51">
        <f t="shared" ca="1" si="155"/>
        <v>-1552324.1392365326</v>
      </c>
      <c r="S174" s="51">
        <f t="shared" si="156"/>
        <v>345795.06213941233</v>
      </c>
      <c r="T174" s="51">
        <f t="shared" si="167"/>
        <v>0</v>
      </c>
      <c r="U174" s="51">
        <f t="shared" ca="1" si="157"/>
        <v>-5987.9212507137654</v>
      </c>
      <c r="V174" s="51">
        <f t="shared" si="168"/>
        <v>-41493.979850330346</v>
      </c>
      <c r="W174" s="51">
        <f t="shared" ca="1" si="169"/>
        <v>-345082.28973148548</v>
      </c>
      <c r="X174" s="51">
        <f t="shared" ca="1" si="170"/>
        <v>0</v>
      </c>
      <c r="Y174" s="51">
        <f t="shared" ca="1" si="158"/>
        <v>-1599093.2679296499</v>
      </c>
      <c r="Z174" s="51">
        <f t="shared" ca="1" si="159"/>
        <v>-1044938</v>
      </c>
      <c r="AB174" s="51">
        <f t="shared" ca="1" si="160"/>
        <v>337571.47</v>
      </c>
      <c r="AD174" s="51">
        <f t="shared" ca="1" si="161"/>
        <v>1382509.47</v>
      </c>
      <c r="AE174" s="93">
        <f t="shared" ca="1" si="162"/>
        <v>4.0954570894276108</v>
      </c>
      <c r="AG174" s="75"/>
    </row>
    <row r="175" spans="2:33" s="70" customFormat="1" outlineLevel="1" x14ac:dyDescent="0.55000000000000004">
      <c r="B175" s="1" t="s">
        <v>23</v>
      </c>
      <c r="C175" s="3">
        <v>12</v>
      </c>
      <c r="E175" s="51">
        <f t="shared" si="163"/>
        <v>-320403.305374761</v>
      </c>
      <c r="F175" s="51">
        <f t="shared" si="164"/>
        <v>-1590.139680403267</v>
      </c>
      <c r="G175" s="51">
        <f>-(E175+F175)*($F$26="time")*IFERROR(IF($F$27="yes",D51/SUM(D51:$D$59),1/COUNT(D51:$D$59)),0)</f>
        <v>0</v>
      </c>
      <c r="H175" s="51">
        <f>-(E175+F175)*($F$26="policies IF")*IFERROR(IF(C175&lt;$F$8,IF($F$27="yes",H51/SUM(H51:$H$59),F51/SUM(F51:$F$59)),IF($F$27="yes",H82/SUM(H82:$H$90),F82/SUM(F82:$F$90))),0)</f>
        <v>0</v>
      </c>
      <c r="I175" s="51">
        <f>-(E175+F175)*($F$26="risk")*IFERROR(IF(C175&lt;$F$8,IF($F$27="yes",R51/SUM(R51:$R$59),Q51/SUM(Q51:$Q$59)),IF($F$27="yes",R82/SUM(R82:$R$90),Q82/SUM(Q82:$Q$90))),0)</f>
        <v>40415.291828317539</v>
      </c>
      <c r="J175" s="51">
        <f t="shared" si="153"/>
        <v>-281578.15322684671</v>
      </c>
      <c r="K175" s="124"/>
      <c r="L175" s="51">
        <f t="shared" ca="1" si="171"/>
        <v>2664615.6058076615</v>
      </c>
      <c r="M175" s="51">
        <f t="shared" si="165"/>
        <v>0</v>
      </c>
      <c r="N175" s="51">
        <f t="shared" ca="1" si="166"/>
        <v>13224.304920514471</v>
      </c>
      <c r="O175" s="51">
        <f ca="1">-(L175+M175+N175)*IFERROR(IF(C175&lt;$F$8,IF($F$24="yes",R51/SUM(R51:$R$60),Q51/SUM(Q51:$Q$60)),IF($F$24="yes",R82/SUM(R82:$R$90),Q82/SUM(Q82:$Q$90))),0)</f>
        <v>-336111.44302348664</v>
      </c>
      <c r="P175" s="51">
        <f t="shared" ca="1" si="154"/>
        <v>2341728.4677046896</v>
      </c>
      <c r="Q175" s="124"/>
      <c r="R175" s="51">
        <f t="shared" ca="1" si="155"/>
        <v>-1599093.2679296499</v>
      </c>
      <c r="S175" s="51">
        <f t="shared" si="156"/>
        <v>336805.6860191559</v>
      </c>
      <c r="T175" s="51">
        <f t="shared" si="167"/>
        <v>0</v>
      </c>
      <c r="U175" s="51">
        <f t="shared" ca="1" si="157"/>
        <v>-6264.6468947266958</v>
      </c>
      <c r="V175" s="51">
        <f t="shared" si="168"/>
        <v>-40415.291828317539</v>
      </c>
      <c r="W175" s="51">
        <f t="shared" ca="1" si="169"/>
        <v>-336111.44302348664</v>
      </c>
      <c r="X175" s="51">
        <f t="shared" ca="1" si="170"/>
        <v>0</v>
      </c>
      <c r="Y175" s="51">
        <f t="shared" ca="1" si="158"/>
        <v>-1645078.9636570248</v>
      </c>
      <c r="Z175" s="51">
        <f t="shared" ca="1" si="159"/>
        <v>-916460</v>
      </c>
      <c r="AB175" s="51">
        <f t="shared" ca="1" si="160"/>
        <v>298523.40999999997</v>
      </c>
      <c r="AD175" s="51">
        <f t="shared" ca="1" si="161"/>
        <v>1214983.4099999999</v>
      </c>
      <c r="AE175" s="93">
        <f t="shared" ca="1" si="162"/>
        <v>4.069976991084217</v>
      </c>
      <c r="AG175" s="75"/>
    </row>
    <row r="176" spans="2:33" s="70" customFormat="1" outlineLevel="1" x14ac:dyDescent="0.55000000000000004">
      <c r="B176" s="1" t="s">
        <v>24</v>
      </c>
      <c r="C176" s="3">
        <v>13</v>
      </c>
      <c r="E176" s="51">
        <f t="shared" si="163"/>
        <v>-281578.15322684671</v>
      </c>
      <c r="F176" s="51">
        <f t="shared" ref="F176:F183" si="172">IF($F$27="yes",E176*((1+$F$17)^(1/4)-1),0)</f>
        <v>-1397.453106973941</v>
      </c>
      <c r="G176" s="51">
        <f>-(E176+F176)*($F$26="time")*IFERROR(IF($F$27="yes",D52/SUM(D52:$D$59),1/COUNT(D52:$D$59)),0)</f>
        <v>0</v>
      </c>
      <c r="H176" s="51">
        <f>-(E176+F176)*($F$26="policies IF")*IFERROR(IF(C176&lt;$F$8,IF($F$27="yes",H52/SUM(H52:$H$59),F52/SUM(F52:$F$59)),IF($F$27="yes",H83/SUM(H83:$H$90),F83/SUM(F83:$F$90))),0)</f>
        <v>0</v>
      </c>
      <c r="I176" s="51">
        <f>-(E176+F176)*($F$26="risk")*IFERROR(IF(C176&lt;$F$8,IF($F$27="yes",R52/SUM(R52:$R$59),Q52/SUM(Q52:$Q$59)),IF($F$27="yes",R83/SUM(R83:$R$90),Q83/SUM(Q83:$Q$90))),0)</f>
        <v>39364.645653652959</v>
      </c>
      <c r="J176" s="51">
        <f t="shared" ref="J176:J183" si="173">SUM(E176:I176)</f>
        <v>-243610.96068016771</v>
      </c>
      <c r="K176" s="124"/>
      <c r="L176" s="51">
        <f t="shared" ca="1" si="171"/>
        <v>2341728.4677046896</v>
      </c>
      <c r="M176" s="51">
        <f t="shared" si="165"/>
        <v>0</v>
      </c>
      <c r="N176" s="51">
        <f t="shared" ref="N176:N183" ca="1" si="174">IF($F$27="yes",(L176+M176)*((1+$F$17)^(1/4)-1),0)</f>
        <v>11621.83814824181</v>
      </c>
      <c r="O176" s="51">
        <f ca="1">-(L176+M176+N176)*IFERROR(IF(C176&lt;$F$8,IF($F$24="yes",R52/SUM(R52:$R$60),Q52/SUM(Q52:$Q$60)),IF($F$24="yes",R83/SUM(R83:$R$90),Q83/SUM(Q83:$Q$90))),0)</f>
        <v>-327373.80472128867</v>
      </c>
      <c r="P176" s="51">
        <f t="shared" ref="P176:P183" ca="1" si="175">SUM(L176:O176)</f>
        <v>2025976.5011316428</v>
      </c>
      <c r="Q176" s="124"/>
      <c r="R176" s="51">
        <f t="shared" ref="R176:R183" ca="1" si="176">IF(C176=1,0,Y175)</f>
        <v>-1645078.9636570248</v>
      </c>
      <c r="S176" s="51">
        <f t="shared" si="156"/>
        <v>328050.00000000006</v>
      </c>
      <c r="T176" s="51">
        <f t="shared" si="167"/>
        <v>0</v>
      </c>
      <c r="U176" s="51">
        <f t="shared" ref="U176:U183" ca="1" si="177">IF($F$27="yes",(R176+S176+T176)*((1+$F$17)^(1/4)-1),0)</f>
        <v>-6536.3246265573571</v>
      </c>
      <c r="V176" s="51">
        <f t="shared" ref="V176:V183" si="178">-SUM(G176:I176)</f>
        <v>-39364.645653652959</v>
      </c>
      <c r="W176" s="51">
        <f t="shared" ref="W176:W183" ca="1" si="179">O176</f>
        <v>-327373.80472128867</v>
      </c>
      <c r="X176" s="51">
        <f t="shared" ca="1" si="170"/>
        <v>0</v>
      </c>
      <c r="Y176" s="51">
        <f t="shared" ref="Y176:Y183" ca="1" si="180">SUM(R176:X176)</f>
        <v>-1690303.7386585237</v>
      </c>
      <c r="Z176" s="51">
        <f t="shared" ca="1" si="159"/>
        <v>-791278</v>
      </c>
      <c r="AB176" s="51">
        <f t="shared" ca="1" si="160"/>
        <v>259879.77</v>
      </c>
      <c r="AD176" s="51">
        <f t="shared" ref="AD176:AD183" ca="1" si="181">ABS(Z176-AB176)</f>
        <v>1051157.77</v>
      </c>
      <c r="AE176" s="93">
        <f t="shared" ref="AE176:AE183" ca="1" si="182">IFERROR(AD176/ABS(AB176),0)</f>
        <v>4.0447849018798196</v>
      </c>
      <c r="AG176" s="75"/>
    </row>
    <row r="177" spans="2:33" s="70" customFormat="1" outlineLevel="1" x14ac:dyDescent="0.55000000000000004">
      <c r="B177" s="1" t="s">
        <v>25</v>
      </c>
      <c r="C177" s="3">
        <v>14</v>
      </c>
      <c r="E177" s="51">
        <f t="shared" si="163"/>
        <v>-243610.96068016771</v>
      </c>
      <c r="F177" s="51">
        <f t="shared" si="172"/>
        <v>-1209.0245283381191</v>
      </c>
      <c r="G177" s="51">
        <f>-(E177+F177)*($F$26="time")*IFERROR(IF($F$27="yes",D53/SUM(D53:$D$59),1/COUNT(D53:$D$59)),0)</f>
        <v>0</v>
      </c>
      <c r="H177" s="51">
        <f>-(E177+F177)*($F$26="policies IF")*IFERROR(IF(C177&lt;$F$8,IF($F$27="yes",H53/SUM(H53:$H$59),F53/SUM(F53:$F$59)),IF($F$27="yes",H84/SUM(H84:$H$90),F84/SUM(F84:$F$90))),0)</f>
        <v>0</v>
      </c>
      <c r="I177" s="51">
        <f>-(E177+F177)*($F$26="risk")*IFERROR(IF(C177&lt;$F$8,IF($F$27="yes",R53/SUM(R53:$R$59),Q53/SUM(Q53:$Q$59)),IF($F$27="yes",R84/SUM(R84:$R$90),Q84/SUM(Q84:$Q$90))),0)</f>
        <v>38341.31234336226</v>
      </c>
      <c r="J177" s="51">
        <f t="shared" si="173"/>
        <v>-206478.67286514357</v>
      </c>
      <c r="K177" s="124"/>
      <c r="L177" s="51">
        <f t="shared" ca="1" si="171"/>
        <v>2025976.5011316428</v>
      </c>
      <c r="M177" s="51">
        <f t="shared" si="165"/>
        <v>0</v>
      </c>
      <c r="N177" s="51">
        <f t="shared" ca="1" si="174"/>
        <v>10054.782744035238</v>
      </c>
      <c r="O177" s="51">
        <f ca="1">-(L177+M177+N177)*IFERROR(IF(C177&lt;$F$8,IF($F$24="yes",R53/SUM(R53:$R$60),Q53/SUM(Q53:$Q$60)),IF($F$24="yes",R84/SUM(R84:$R$90),Q84/SUM(Q84:$Q$90))),0)</f>
        <v>-318863.31228003866</v>
      </c>
      <c r="P177" s="51">
        <f t="shared" ca="1" si="175"/>
        <v>1717167.9715956394</v>
      </c>
      <c r="Q177" s="124"/>
      <c r="R177" s="51">
        <f t="shared" ca="1" si="176"/>
        <v>-1690303.7386585237</v>
      </c>
      <c r="S177" s="51">
        <f t="shared" si="156"/>
        <v>319521.92901481857</v>
      </c>
      <c r="T177" s="51">
        <f t="shared" si="167"/>
        <v>0</v>
      </c>
      <c r="U177" s="51">
        <f t="shared" ca="1" si="177"/>
        <v>-6803.0963230542147</v>
      </c>
      <c r="V177" s="51">
        <f t="shared" si="178"/>
        <v>-38341.31234336226</v>
      </c>
      <c r="W177" s="51">
        <f t="shared" ca="1" si="179"/>
        <v>-318863.31228003866</v>
      </c>
      <c r="X177" s="51">
        <f t="shared" ca="1" si="170"/>
        <v>0</v>
      </c>
      <c r="Y177" s="51">
        <f t="shared" ca="1" si="180"/>
        <v>-1734789.5305901603</v>
      </c>
      <c r="Z177" s="51">
        <f t="shared" ca="1" si="159"/>
        <v>-669304</v>
      </c>
      <c r="AB177" s="51">
        <f t="shared" ca="1" si="160"/>
        <v>221632.12</v>
      </c>
      <c r="AD177" s="51">
        <f t="shared" ca="1" si="181"/>
        <v>890936.12</v>
      </c>
      <c r="AE177" s="93">
        <f t="shared" ca="1" si="182"/>
        <v>4.0198871896365924</v>
      </c>
      <c r="AG177" s="75"/>
    </row>
    <row r="178" spans="2:33" s="70" customFormat="1" outlineLevel="1" x14ac:dyDescent="0.55000000000000004">
      <c r="B178" s="1" t="s">
        <v>26</v>
      </c>
      <c r="C178" s="3">
        <v>15</v>
      </c>
      <c r="E178" s="51">
        <f t="shared" si="163"/>
        <v>-206478.67286514357</v>
      </c>
      <c r="F178" s="51">
        <f t="shared" si="172"/>
        <v>-1024.7395247556442</v>
      </c>
      <c r="G178" s="51">
        <f>-(E178+F178)*($F$26="time")*IFERROR(IF($F$27="yes",D54/SUM(D54:$D$59),1/COUNT(D54:$D$59)),0)</f>
        <v>0</v>
      </c>
      <c r="H178" s="51">
        <f>-(E178+F178)*($F$26="policies IF")*IFERROR(IF(C178&lt;$F$8,IF($F$27="yes",H54/SUM(H54:$H$59),F54/SUM(F54:$F$59)),IF($F$27="yes",H85/SUM(H85:$H$90),F85/SUM(F85:$F$90))),0)</f>
        <v>0</v>
      </c>
      <c r="I178" s="51">
        <f>-(E178+F178)*($F$26="risk")*IFERROR(IF(C178&lt;$F$8,IF($F$27="yes",R54/SUM(R54:$R$59),Q54/SUM(Q54:$Q$59)),IF($F$27="yes",R85/SUM(R85:$R$90),Q85/SUM(Q85:$Q$90))),0)</f>
        <v>37344.58186529731</v>
      </c>
      <c r="J178" s="51">
        <f t="shared" si="173"/>
        <v>-170158.83052460192</v>
      </c>
      <c r="K178" s="124"/>
      <c r="L178" s="51">
        <f t="shared" ca="1" si="171"/>
        <v>1717167.9715956394</v>
      </c>
      <c r="M178" s="51">
        <f t="shared" si="165"/>
        <v>0</v>
      </c>
      <c r="N178" s="51">
        <f t="shared" ca="1" si="174"/>
        <v>8522.1871427263613</v>
      </c>
      <c r="O178" s="51">
        <f ca="1">-(L178+M178+N178)*IFERROR(IF(C178&lt;$F$8,IF($F$24="yes",R54/SUM(R54:$R$60),Q54/SUM(Q54:$Q$60)),IF($F$24="yes",R85/SUM(R85:$R$90),Q85/SUM(Q85:$Q$90))),0)</f>
        <v>-310574.06075833691</v>
      </c>
      <c r="P178" s="51">
        <f t="shared" ca="1" si="175"/>
        <v>1415116.0979800287</v>
      </c>
      <c r="Q178" s="124"/>
      <c r="R178" s="51">
        <f t="shared" ca="1" si="176"/>
        <v>-1734789.5305901603</v>
      </c>
      <c r="S178" s="51">
        <f t="shared" si="156"/>
        <v>311215.55592547107</v>
      </c>
      <c r="T178" s="51">
        <f t="shared" si="167"/>
        <v>0</v>
      </c>
      <c r="U178" s="51">
        <f t="shared" ca="1" si="177"/>
        <v>-7065.1002256546435</v>
      </c>
      <c r="V178" s="51">
        <f t="shared" si="178"/>
        <v>-37344.58186529731</v>
      </c>
      <c r="W178" s="51">
        <f t="shared" ca="1" si="179"/>
        <v>-310574.06075833691</v>
      </c>
      <c r="X178" s="51">
        <f t="shared" ca="1" si="170"/>
        <v>0</v>
      </c>
      <c r="Y178" s="51">
        <f t="shared" ca="1" si="180"/>
        <v>-1778557.7175139782</v>
      </c>
      <c r="Z178" s="51">
        <f t="shared" ca="1" si="159"/>
        <v>-550447</v>
      </c>
      <c r="AB178" s="51">
        <f t="shared" ca="1" si="160"/>
        <v>183772.1</v>
      </c>
      <c r="AD178" s="51">
        <f t="shared" ca="1" si="181"/>
        <v>734219.1</v>
      </c>
      <c r="AE178" s="93">
        <f t="shared" ca="1" si="182"/>
        <v>3.9952696845712703</v>
      </c>
      <c r="AG178" s="75"/>
    </row>
    <row r="179" spans="2:33" s="70" customFormat="1" outlineLevel="1" x14ac:dyDescent="0.55000000000000004">
      <c r="B179" s="1" t="s">
        <v>27</v>
      </c>
      <c r="C179" s="3">
        <v>16</v>
      </c>
      <c r="E179" s="51">
        <f t="shared" si="163"/>
        <v>-170158.83052460192</v>
      </c>
      <c r="F179" s="51">
        <f t="shared" si="172"/>
        <v>-844.48663246998501</v>
      </c>
      <c r="G179" s="51">
        <f>-(E179+F179)*($F$26="time")*IFERROR(IF($F$27="yes",D55/SUM(D55:$D$59),1/COUNT(D55:$D$59)),0)</f>
        <v>0</v>
      </c>
      <c r="H179" s="51">
        <f>-(E179+F179)*($F$26="policies IF")*IFERROR(IF(C179&lt;$F$8,IF($F$27="yes",H55/SUM(H55:$H$59),F55/SUM(F55:$F$59)),IF($F$27="yes",H86/SUM(H86:$H$90),F86/SUM(F86:$F$90))),0)</f>
        <v>0</v>
      </c>
      <c r="I179" s="51">
        <f>-(E179+F179)*($F$26="risk")*IFERROR(IF(C179&lt;$F$8,IF($F$27="yes",R55/SUM(R55:$R$59),Q55/SUM(Q55:$Q$59)),IF($F$27="yes",R86/SUM(R86:$R$90),Q86/SUM(Q86:$Q$90))),0)</f>
        <v>36373.762645485782</v>
      </c>
      <c r="J179" s="51">
        <f t="shared" si="173"/>
        <v>-134629.55451158612</v>
      </c>
      <c r="K179" s="124"/>
      <c r="L179" s="51">
        <f t="shared" ca="1" si="171"/>
        <v>1415116.0979800287</v>
      </c>
      <c r="M179" s="51">
        <f t="shared" si="165"/>
        <v>0</v>
      </c>
      <c r="N179" s="51">
        <f t="shared" ca="1" si="174"/>
        <v>7023.124362414077</v>
      </c>
      <c r="O179" s="51">
        <f ca="1">-(L179+M179+N179)*IFERROR(IF(C179&lt;$F$8,IF($F$24="yes",R55/SUM(R55:$R$60),Q55/SUM(Q55:$Q$60)),IF($F$24="yes",R86/SUM(R86:$R$90),Q86/SUM(Q86:$Q$90))),0)</f>
        <v>-302500.29872113792</v>
      </c>
      <c r="P179" s="51">
        <f t="shared" ca="1" si="175"/>
        <v>1119638.9236213048</v>
      </c>
      <c r="Q179" s="124"/>
      <c r="R179" s="51">
        <f t="shared" ca="1" si="176"/>
        <v>-1778557.7175139782</v>
      </c>
      <c r="S179" s="51">
        <f t="shared" si="156"/>
        <v>303125.11741724028</v>
      </c>
      <c r="T179" s="51">
        <f t="shared" si="167"/>
        <v>0</v>
      </c>
      <c r="U179" s="51">
        <f t="shared" ca="1" si="177"/>
        <v>-7322.471035154309</v>
      </c>
      <c r="V179" s="51">
        <f t="shared" si="178"/>
        <v>-36373.762645485782</v>
      </c>
      <c r="W179" s="51">
        <f t="shared" ca="1" si="179"/>
        <v>-302500.29872113792</v>
      </c>
      <c r="X179" s="51">
        <f t="shared" ca="1" si="170"/>
        <v>0</v>
      </c>
      <c r="Y179" s="51">
        <f t="shared" ca="1" si="180"/>
        <v>-1821629.132498516</v>
      </c>
      <c r="Z179" s="51">
        <f t="shared" ca="1" si="159"/>
        <v>-434622</v>
      </c>
      <c r="AB179" s="51">
        <f t="shared" ca="1" si="160"/>
        <v>146291.43</v>
      </c>
      <c r="AD179" s="51">
        <f t="shared" ca="1" si="181"/>
        <v>580913.42999999993</v>
      </c>
      <c r="AE179" s="93">
        <f t="shared" ca="1" si="182"/>
        <v>3.970932747051553</v>
      </c>
      <c r="AG179" s="75"/>
    </row>
    <row r="180" spans="2:33" s="70" customFormat="1" outlineLevel="1" x14ac:dyDescent="0.55000000000000004">
      <c r="B180" s="1" t="s">
        <v>28</v>
      </c>
      <c r="C180" s="3">
        <v>17</v>
      </c>
      <c r="E180" s="51">
        <f t="shared" si="163"/>
        <v>-134629.55451158612</v>
      </c>
      <c r="F180" s="51">
        <f t="shared" si="172"/>
        <v>-668.15726677191572</v>
      </c>
      <c r="G180" s="51">
        <f>-(E180+F180)*($F$26="time")*IFERROR(IF($F$27="yes",D56/SUM(D56:$D$59),1/COUNT(D56:$D$59)),0)</f>
        <v>0</v>
      </c>
      <c r="H180" s="51">
        <f>-(E180+F180)*($F$26="policies IF")*IFERROR(IF(C180&lt;$F$8,IF($F$27="yes",H56/SUM(H56:$H$59),F56/SUM(F56:$F$59)),IF($F$27="yes",H87/SUM(H87:$H$90),F87/SUM(F87:$F$90))),0)</f>
        <v>0</v>
      </c>
      <c r="I180" s="51">
        <f>-(E180+F180)*($F$26="risk")*IFERROR(IF(C180&lt;$F$8,IF($F$27="yes",R56/SUM(R56:$R$59),Q56/SUM(Q56:$Q$59)),IF($F$27="yes",R87/SUM(R87:$R$90),Q87/SUM(Q87:$Q$90))),0)</f>
        <v>35428.181088287667</v>
      </c>
      <c r="J180" s="51">
        <f t="shared" si="173"/>
        <v>-99869.530690070358</v>
      </c>
      <c r="K180" s="124"/>
      <c r="L180" s="51">
        <f t="shared" ca="1" si="171"/>
        <v>1119638.9236213048</v>
      </c>
      <c r="M180" s="51">
        <f t="shared" si="165"/>
        <v>0</v>
      </c>
      <c r="N180" s="51">
        <f t="shared" ca="1" si="174"/>
        <v>5556.6913646281155</v>
      </c>
      <c r="O180" s="51">
        <f ca="1">-(L180+M180+N180)*IFERROR(IF(C180&lt;$F$8,IF($F$24="yes",R56/SUM(R56:$R$60),Q56/SUM(Q56:$Q$60)),IF($F$24="yes",R87/SUM(R87:$R$90),Q87/SUM(Q87:$Q$90))),0)</f>
        <v>-294636.42424915975</v>
      </c>
      <c r="P180" s="51">
        <f t="shared" ca="1" si="175"/>
        <v>830559.19073677307</v>
      </c>
      <c r="Q180" s="124"/>
      <c r="R180" s="51">
        <f t="shared" ca="1" si="176"/>
        <v>-1821629.132498516</v>
      </c>
      <c r="S180" s="51">
        <f t="shared" si="156"/>
        <v>295245.00000000006</v>
      </c>
      <c r="T180" s="51">
        <f t="shared" si="167"/>
        <v>0</v>
      </c>
      <c r="U180" s="51">
        <f t="shared" ca="1" si="177"/>
        <v>-7575.3400040142105</v>
      </c>
      <c r="V180" s="51">
        <f t="shared" si="178"/>
        <v>-35428.181088287667</v>
      </c>
      <c r="W180" s="51">
        <f t="shared" ca="1" si="179"/>
        <v>-294636.42424915975</v>
      </c>
      <c r="X180" s="51">
        <f t="shared" ca="1" si="170"/>
        <v>0</v>
      </c>
      <c r="Y180" s="51">
        <f t="shared" ca="1" si="180"/>
        <v>-1864024.0778399776</v>
      </c>
      <c r="Z180" s="51">
        <f t="shared" ca="1" si="159"/>
        <v>-321746</v>
      </c>
      <c r="AB180" s="51">
        <f t="shared" ca="1" si="160"/>
        <v>109181.93</v>
      </c>
      <c r="AD180" s="51">
        <f t="shared" ca="1" si="181"/>
        <v>430927.93</v>
      </c>
      <c r="AE180" s="93">
        <f t="shared" ca="1" si="182"/>
        <v>3.9468795797985989</v>
      </c>
      <c r="AG180" s="75"/>
    </row>
    <row r="181" spans="2:33" s="70" customFormat="1" outlineLevel="1" x14ac:dyDescent="0.55000000000000004">
      <c r="B181" s="1" t="s">
        <v>29</v>
      </c>
      <c r="C181" s="3">
        <v>18</v>
      </c>
      <c r="E181" s="51">
        <f t="shared" si="163"/>
        <v>-99869.530690070358</v>
      </c>
      <c r="F181" s="51">
        <f t="shared" si="172"/>
        <v>-495.64564706279822</v>
      </c>
      <c r="G181" s="51">
        <f>-(E181+F181)*($F$26="time")*IFERROR(IF($F$27="yes",D57/SUM(D57:$D$59),1/COUNT(D57:$D$59)),0)</f>
        <v>0</v>
      </c>
      <c r="H181" s="51">
        <f>-(E181+F181)*($F$26="policies IF")*IFERROR(IF(C181&lt;$F$8,IF($F$27="yes",H57/SUM(H57:$H$59),F57/SUM(F57:$F$59)),IF($F$27="yes",H88/SUM(H88:$H$90),F88/SUM(F88:$F$90))),0)</f>
        <v>0</v>
      </c>
      <c r="I181" s="51">
        <f>-(E181+F181)*($F$26="risk")*IFERROR(IF(C181&lt;$F$8,IF($F$27="yes",R57/SUM(R57:$R$59),Q57/SUM(Q57:$Q$59)),IF($F$27="yes",R88/SUM(R88:$R$90),Q88/SUM(Q88:$Q$90))),0)</f>
        <v>34507.181109026023</v>
      </c>
      <c r="J181" s="51">
        <f t="shared" si="173"/>
        <v>-65857.995228107146</v>
      </c>
      <c r="K181" s="124"/>
      <c r="L181" s="51">
        <f t="shared" ca="1" si="171"/>
        <v>830559.19073677307</v>
      </c>
      <c r="M181" s="51">
        <f t="shared" si="165"/>
        <v>0</v>
      </c>
      <c r="N181" s="51">
        <f t="shared" ca="1" si="174"/>
        <v>4122.0084311221462</v>
      </c>
      <c r="O181" s="51">
        <f ca="1">-(L181+M181+N181)*IFERROR(IF(C181&lt;$F$8,IF($F$24="yes",R57/SUM(R57:$R$60),Q57/SUM(Q57:$Q$60)),IF($F$24="yes",R88/SUM(R88:$R$90),Q88/SUM(Q88:$Q$90))),0)</f>
        <v>-286976.98105203471</v>
      </c>
      <c r="P181" s="51">
        <f t="shared" ca="1" si="175"/>
        <v>547704.2181158606</v>
      </c>
      <c r="Q181" s="124"/>
      <c r="R181" s="51">
        <f t="shared" ca="1" si="176"/>
        <v>-1864024.0778399776</v>
      </c>
      <c r="S181" s="51">
        <f t="shared" si="156"/>
        <v>287569.73611333675</v>
      </c>
      <c r="T181" s="51">
        <f t="shared" si="167"/>
        <v>0</v>
      </c>
      <c r="U181" s="51">
        <f t="shared" ca="1" si="177"/>
        <v>-7823.8350262693921</v>
      </c>
      <c r="V181" s="51">
        <f t="shared" si="178"/>
        <v>-34507.181109026023</v>
      </c>
      <c r="W181" s="51">
        <f t="shared" ca="1" si="179"/>
        <v>-286976.98105203471</v>
      </c>
      <c r="X181" s="51">
        <f t="shared" ca="1" si="170"/>
        <v>0</v>
      </c>
      <c r="Y181" s="51">
        <f t="shared" ca="1" si="180"/>
        <v>-1905762.3389139709</v>
      </c>
      <c r="Z181" s="51">
        <f t="shared" ca="1" si="159"/>
        <v>-211735</v>
      </c>
      <c r="AB181" s="51">
        <f t="shared" ca="1" si="160"/>
        <v>72435.509999999995</v>
      </c>
      <c r="AD181" s="51">
        <f t="shared" ca="1" si="181"/>
        <v>284170.51</v>
      </c>
      <c r="AE181" s="93">
        <f t="shared" ca="1" si="182"/>
        <v>3.9230828912504383</v>
      </c>
      <c r="AG181" s="75"/>
    </row>
    <row r="182" spans="2:33" s="70" customFormat="1" outlineLevel="1" x14ac:dyDescent="0.55000000000000004">
      <c r="B182" s="1" t="s">
        <v>30</v>
      </c>
      <c r="C182" s="3">
        <v>19</v>
      </c>
      <c r="E182" s="51">
        <f t="shared" si="163"/>
        <v>-65857.995228107146</v>
      </c>
      <c r="F182" s="51">
        <f t="shared" si="172"/>
        <v>-326.84872386547954</v>
      </c>
      <c r="G182" s="51">
        <f>-(E182+F182)*($F$26="time")*IFERROR(IF($F$27="yes",D58/SUM(D58:$D$59),1/COUNT(D58:$D$59)),0)</f>
        <v>0</v>
      </c>
      <c r="H182" s="51">
        <f>-(E182+F182)*($F$26="policies IF")*IFERROR(IF(C182&lt;$F$8,IF($F$27="yes",H58/SUM(H58:$H$59),F58/SUM(F58:$F$59)),IF($F$27="yes",H89/SUM(H89:$H$90),F89/SUM(F89:$F$90))),0)</f>
        <v>0</v>
      </c>
      <c r="I182" s="51">
        <f>-(E182+F182)*($F$26="risk")*IFERROR(IF(C182&lt;$F$8,IF($F$27="yes",R58/SUM(R58:$R$59),Q58/SUM(Q58:$Q$59)),IF($F$27="yes",R89/SUM(R89:$R$90),Q89/SUM(Q89:$Q$90))),0)</f>
        <v>33610.123678767581</v>
      </c>
      <c r="J182" s="51">
        <f t="shared" si="173"/>
        <v>-32574.720273205043</v>
      </c>
      <c r="K182" s="124"/>
      <c r="L182" s="51">
        <f t="shared" ca="1" si="171"/>
        <v>547704.2181158606</v>
      </c>
      <c r="M182" s="51">
        <f t="shared" si="165"/>
        <v>0</v>
      </c>
      <c r="N182" s="51">
        <f t="shared" ca="1" si="174"/>
        <v>2718.2185568641171</v>
      </c>
      <c r="O182" s="51">
        <f ca="1">-(L182+M182+N182)*IFERROR(IF(C182&lt;$F$8,IF($F$24="yes",R58/SUM(R58:$R$60),Q58/SUM(Q58:$Q$60)),IF($F$24="yes",R89/SUM(R89:$R$90),Q89/SUM(Q89:$Q$90))),0)</f>
        <v>-279516.65468250326</v>
      </c>
      <c r="P182" s="51">
        <f t="shared" ca="1" si="175"/>
        <v>270905.78199022141</v>
      </c>
      <c r="Q182" s="124"/>
      <c r="R182" s="51">
        <f t="shared" ca="1" si="176"/>
        <v>-1905762.3389139709</v>
      </c>
      <c r="S182" s="51">
        <f t="shared" si="156"/>
        <v>280094.00033292396</v>
      </c>
      <c r="T182" s="51">
        <f t="shared" si="167"/>
        <v>0</v>
      </c>
      <c r="U182" s="51">
        <f t="shared" ca="1" si="177"/>
        <v>-8068.0807251016786</v>
      </c>
      <c r="V182" s="51">
        <f t="shared" si="178"/>
        <v>-33610.123678767581</v>
      </c>
      <c r="W182" s="51">
        <f t="shared" ca="1" si="179"/>
        <v>-279516.65468250326</v>
      </c>
      <c r="X182" s="51">
        <f t="shared" ca="1" si="170"/>
        <v>0</v>
      </c>
      <c r="Y182" s="51">
        <f t="shared" ca="1" si="180"/>
        <v>-1946863.1976674197</v>
      </c>
      <c r="Z182" s="51">
        <f t="shared" ca="1" si="159"/>
        <v>-104513</v>
      </c>
      <c r="AB182" s="51">
        <f t="shared" ca="1" si="160"/>
        <v>36044.17</v>
      </c>
      <c r="AD182" s="51">
        <f t="shared" ca="1" si="181"/>
        <v>140557.16999999998</v>
      </c>
      <c r="AE182" s="93">
        <f t="shared" ca="1" si="182"/>
        <v>3.8995812637660956</v>
      </c>
      <c r="AG182" s="75"/>
    </row>
    <row r="183" spans="2:33" s="70" customFormat="1" outlineLevel="1" x14ac:dyDescent="0.55000000000000004">
      <c r="B183" s="1" t="s">
        <v>31</v>
      </c>
      <c r="C183" s="3">
        <v>20</v>
      </c>
      <c r="E183" s="51">
        <f t="shared" si="163"/>
        <v>-32574.720273205043</v>
      </c>
      <c r="F183" s="51">
        <f t="shared" si="172"/>
        <v>-161.66610773217192</v>
      </c>
      <c r="G183" s="51">
        <f>-(E183+F183)*($F$26="time")*IFERROR(IF($F$27="yes",D59/SUM(D59:$D$59),1/COUNT(D59:$D$59)),0)</f>
        <v>0</v>
      </c>
      <c r="H183" s="51">
        <f>-(E183+F183)*($F$26="policies IF")*IFERROR(IF(C183&lt;$F$8,IF($F$27="yes",H59/SUM(H59:$H$59),F59/SUM(F59:$F$59)),IF($F$27="yes",H90/SUM(H90:$H$90),F90/SUM(F90:$F$90))),0)</f>
        <v>0</v>
      </c>
      <c r="I183" s="51">
        <f>-(E183+F183)*($F$26="risk")*IFERROR(IF(C183&lt;$F$8,IF($F$27="yes",R59/SUM(R59:$R$59),Q59/SUM(Q59:$Q$59)),IF($F$27="yes",R90/SUM(R90:$R$90),Q90/SUM(Q90:$Q$90))),0)</f>
        <v>32736.386380937216</v>
      </c>
      <c r="J183" s="51">
        <f t="shared" si="173"/>
        <v>0</v>
      </c>
      <c r="K183" s="124"/>
      <c r="L183" s="51">
        <f t="shared" ca="1" si="171"/>
        <v>270905.78199022141</v>
      </c>
      <c r="M183" s="51">
        <f t="shared" si="165"/>
        <v>0</v>
      </c>
      <c r="N183" s="51">
        <f t="shared" ca="1" si="174"/>
        <v>1344.4868588027409</v>
      </c>
      <c r="O183" s="51">
        <f ca="1">-(L183+M183+N183)*IFERROR(IF(C183&lt;$F$8,IF($F$24="yes",R59/SUM(R59:$R$60),Q59/SUM(Q59:$Q$60)),IF($F$24="yes",R90/SUM(R90:$R$90),Q90/SUM(Q90:$Q$90))),0)</f>
        <v>-272250.26884902414</v>
      </c>
      <c r="P183" s="51">
        <f t="shared" ca="1" si="175"/>
        <v>0</v>
      </c>
      <c r="Q183" s="124"/>
      <c r="R183" s="51">
        <f t="shared" ca="1" si="176"/>
        <v>-1946863.1976674197</v>
      </c>
      <c r="S183" s="51">
        <f t="shared" si="156"/>
        <v>272812.60567551624</v>
      </c>
      <c r="T183" s="51">
        <f t="shared" si="167"/>
        <v>0</v>
      </c>
      <c r="U183" s="51">
        <f t="shared" ca="1" si="177"/>
        <v>-8308.1985381371669</v>
      </c>
      <c r="V183" s="51">
        <f t="shared" si="178"/>
        <v>-32736.386380937216</v>
      </c>
      <c r="W183" s="51">
        <f t="shared" ca="1" si="179"/>
        <v>-272250.26884902414</v>
      </c>
      <c r="X183" s="51">
        <f t="shared" ca="1" si="170"/>
        <v>0</v>
      </c>
      <c r="Y183" s="51">
        <f t="shared" ca="1" si="180"/>
        <v>-1987345.4457600019</v>
      </c>
      <c r="Z183" s="51">
        <f t="shared" ca="1" si="159"/>
        <v>0</v>
      </c>
      <c r="AB183" s="51">
        <f t="shared" ca="1" si="160"/>
        <v>0</v>
      </c>
      <c r="AD183" s="51">
        <f t="shared" ca="1" si="181"/>
        <v>0</v>
      </c>
      <c r="AE183" s="93">
        <f t="shared" ca="1" si="182"/>
        <v>0</v>
      </c>
      <c r="AG183" s="75"/>
    </row>
    <row r="184" spans="2:33" s="70" customFormat="1" outlineLevel="1" x14ac:dyDescent="0.55000000000000004">
      <c r="B184" s="121"/>
      <c r="C184" s="71"/>
      <c r="E184" s="71"/>
      <c r="F184" s="71"/>
      <c r="G184" s="71"/>
      <c r="H184" s="71"/>
      <c r="I184" s="71"/>
      <c r="J184" s="71"/>
      <c r="L184" s="77"/>
      <c r="M184" s="77"/>
      <c r="N184" s="77"/>
      <c r="O184" s="77"/>
      <c r="P184" s="77"/>
      <c r="Q184" s="55"/>
      <c r="R184" s="67"/>
      <c r="S184" s="67"/>
      <c r="T184" s="67"/>
      <c r="U184" s="67"/>
      <c r="V184" s="67"/>
      <c r="W184" s="67"/>
      <c r="X184" s="67"/>
      <c r="Y184" s="67"/>
      <c r="Z184" s="67"/>
      <c r="AB184" s="122"/>
      <c r="AD184" s="67"/>
      <c r="AE184" s="69"/>
      <c r="AG184" s="75"/>
    </row>
    <row r="185" spans="2:33" s="70" customFormat="1" outlineLevel="1" x14ac:dyDescent="0.55000000000000004">
      <c r="B185" s="51"/>
      <c r="C185" s="51"/>
      <c r="I185" s="51"/>
      <c r="L185" s="51"/>
      <c r="M185" s="51"/>
      <c r="N185" s="51"/>
      <c r="O185" s="51"/>
      <c r="Q185" s="51"/>
      <c r="R185" s="51"/>
      <c r="S185" s="51"/>
      <c r="T185" s="51"/>
      <c r="U185" s="51"/>
      <c r="V185" s="51"/>
      <c r="W185" s="51"/>
      <c r="X185" s="51"/>
      <c r="Y185" s="51"/>
      <c r="Z185" s="51"/>
      <c r="AB185" s="55"/>
      <c r="AD185" s="51"/>
      <c r="AE185" s="55"/>
      <c r="AG185" s="75"/>
    </row>
    <row r="186" spans="2:33" s="70" customFormat="1" outlineLevel="1" x14ac:dyDescent="0.55000000000000004">
      <c r="B186" s="52"/>
      <c r="C186" s="52"/>
      <c r="F186" s="52">
        <f t="shared" ref="F186:O186" si="183">SUM(F164:F183)</f>
        <v>-40546.00290095387</v>
      </c>
      <c r="G186" s="52">
        <f t="shared" si="183"/>
        <v>0</v>
      </c>
      <c r="H186" s="52">
        <f t="shared" si="183"/>
        <v>0</v>
      </c>
      <c r="I186" s="52">
        <f t="shared" si="183"/>
        <v>940546.0029009541</v>
      </c>
      <c r="J186" s="52"/>
      <c r="K186" s="52"/>
      <c r="L186" s="52"/>
      <c r="M186" s="52">
        <f t="shared" ca="1" si="183"/>
        <v>1232456.9429092747</v>
      </c>
      <c r="N186" s="52">
        <f t="shared" ca="1" si="183"/>
        <v>285858.95685422578</v>
      </c>
      <c r="O186" s="52">
        <f t="shared" ca="1" si="183"/>
        <v>-6888257.6131772799</v>
      </c>
      <c r="P186" s="52"/>
      <c r="Q186" s="52"/>
      <c r="R186" s="52"/>
      <c r="S186" s="52">
        <f t="shared" ref="S186:X186" si="184">SUM(S164:S183)</f>
        <v>6855177.981072288</v>
      </c>
      <c r="T186" s="52">
        <f t="shared" si="184"/>
        <v>-900000</v>
      </c>
      <c r="U186" s="52">
        <f t="shared" ca="1" si="184"/>
        <v>-113719.81075405482</v>
      </c>
      <c r="V186" s="52">
        <f t="shared" si="184"/>
        <v>-940546.0029009541</v>
      </c>
      <c r="W186" s="52">
        <f t="shared" ca="1" si="184"/>
        <v>-6888257.6131772799</v>
      </c>
      <c r="X186" s="52">
        <f t="shared" ca="1" si="184"/>
        <v>0</v>
      </c>
      <c r="Y186" s="52"/>
      <c r="Z186" s="52"/>
      <c r="AC186" s="123" t="s">
        <v>152</v>
      </c>
      <c r="AD186" s="52">
        <f ca="1">AVERAGE(AD164:AD183)</f>
        <v>1173192.8070000003</v>
      </c>
      <c r="AE186" s="74">
        <f ca="1">AVERAGE(AE164:AE183)</f>
        <v>3.3197460979993374</v>
      </c>
      <c r="AG186" s="75"/>
    </row>
    <row r="187" spans="2:33" s="70" customFormat="1" x14ac:dyDescent="0.55000000000000004">
      <c r="B187" s="51"/>
      <c r="C187" s="51"/>
      <c r="D187" s="51"/>
      <c r="E187" s="51"/>
      <c r="F187" s="51"/>
      <c r="G187" s="51"/>
      <c r="H187" s="51"/>
      <c r="I187" s="51"/>
      <c r="J187" s="51"/>
      <c r="K187" s="51"/>
      <c r="L187" s="51"/>
      <c r="M187" s="52"/>
      <c r="N187" s="52"/>
      <c r="O187" s="52"/>
      <c r="P187" s="52"/>
      <c r="Q187" s="52"/>
      <c r="R187" s="52"/>
      <c r="S187" s="52"/>
      <c r="T187" s="52"/>
      <c r="U187" s="52"/>
      <c r="V187" s="51"/>
      <c r="AG187" s="75"/>
    </row>
    <row r="188" spans="2:33" s="70" customFormat="1" x14ac:dyDescent="0.55000000000000004">
      <c r="B188" s="51"/>
      <c r="C188" s="51"/>
      <c r="D188" s="51"/>
      <c r="E188" s="51"/>
      <c r="F188" s="51"/>
      <c r="G188" s="51"/>
      <c r="H188" s="51"/>
      <c r="I188" s="51"/>
      <c r="J188" s="51"/>
      <c r="K188" s="51"/>
      <c r="L188" s="51"/>
      <c r="M188" s="52"/>
      <c r="N188" s="52"/>
      <c r="O188" s="52"/>
      <c r="P188" s="52"/>
      <c r="Q188" s="52"/>
      <c r="R188" s="52"/>
      <c r="S188" s="52"/>
      <c r="T188" s="52"/>
      <c r="U188" s="52"/>
      <c r="V188" s="51"/>
      <c r="AG188" s="75"/>
    </row>
    <row r="189" spans="2:33" x14ac:dyDescent="0.55000000000000004">
      <c r="D189" s="55"/>
    </row>
    <row r="190" spans="2:33" x14ac:dyDescent="0.55000000000000004">
      <c r="D190" s="51"/>
    </row>
    <row r="191" spans="2:33" x14ac:dyDescent="0.55000000000000004">
      <c r="D191" s="51"/>
    </row>
    <row r="192" spans="2:33" x14ac:dyDescent="0.55000000000000004">
      <c r="D192" s="51"/>
      <c r="E192" s="55"/>
      <c r="F192" s="55"/>
      <c r="G192" s="55"/>
      <c r="H192" s="70"/>
      <c r="I192" s="70"/>
      <c r="J192" s="70"/>
      <c r="K192" s="70"/>
    </row>
  </sheetData>
  <sheetProtection algorithmName="SHA-512" hashValue="lG/tStC0aJOhFBuuC3IdtbFkiuuQ/P4Nx2hpq/I9RaPQHbGLnvD4N0Ignk+TEOrN9FyNvIUlLNWZq/pYynmFQQ==" saltValue="VzuTQA1mH8+SWAhZ+lhscg==" spinCount="100000" sheet="1" objects="1" scenarios="1"/>
  <protectedRanges>
    <protectedRange sqref="J71:J90 O71:O90 T71:T90" name="Range8"/>
    <protectedRange sqref="F21:F29" name="Range6"/>
    <protectedRange sqref="G14" name="Range4"/>
    <protectedRange sqref="F11:F14" name="Range2"/>
    <protectedRange sqref="F8" name="Range1"/>
    <protectedRange sqref="G11:G12" name="Range3"/>
    <protectedRange sqref="F17:G19" name="Range5"/>
    <protectedRange sqref="J40:J59 O40:O59 T40:T59" name="Range7"/>
  </protectedRanges>
  <mergeCells count="39">
    <mergeCell ref="B160:C160"/>
    <mergeCell ref="E160:J160"/>
    <mergeCell ref="L160:P160"/>
    <mergeCell ref="R160:Z160"/>
    <mergeCell ref="AD160:AE160"/>
    <mergeCell ref="B129:C129"/>
    <mergeCell ref="E129:M129"/>
    <mergeCell ref="O129:U129"/>
    <mergeCell ref="W129:AE129"/>
    <mergeCell ref="AG129:AO129"/>
    <mergeCell ref="AQ67:AS67"/>
    <mergeCell ref="B98:D98"/>
    <mergeCell ref="F98:H98"/>
    <mergeCell ref="J98:M98"/>
    <mergeCell ref="O98:R98"/>
    <mergeCell ref="W98:AB98"/>
    <mergeCell ref="AD98:AI98"/>
    <mergeCell ref="AK98:AL98"/>
    <mergeCell ref="AN98:AO98"/>
    <mergeCell ref="AQ98:AS98"/>
    <mergeCell ref="B67:D67"/>
    <mergeCell ref="F67:H67"/>
    <mergeCell ref="J67:M67"/>
    <mergeCell ref="O67:R67"/>
    <mergeCell ref="W67:AB67"/>
    <mergeCell ref="T67:U67"/>
    <mergeCell ref="B36:D36"/>
    <mergeCell ref="F36:H36"/>
    <mergeCell ref="J36:M36"/>
    <mergeCell ref="O36:R36"/>
    <mergeCell ref="W36:AB36"/>
    <mergeCell ref="T36:U36"/>
    <mergeCell ref="T98:U98"/>
    <mergeCell ref="AK36:AL36"/>
    <mergeCell ref="AN36:AO36"/>
    <mergeCell ref="AD67:AI67"/>
    <mergeCell ref="AK67:AL67"/>
    <mergeCell ref="AN67:AO67"/>
    <mergeCell ref="AD36:AI36"/>
  </mergeCells>
  <dataValidations count="15">
    <dataValidation type="list" allowBlank="1" showInputMessage="1" showErrorMessage="1" sqref="F22" xr:uid="{77A82DAC-5308-4150-A399-5D8A0FB1036F}">
      <formula1>"single,annual,semi-ann,quarterly,pattern"</formula1>
    </dataValidation>
    <dataValidation type="decimal" operator="greaterThanOrEqual" allowBlank="1" showInputMessage="1" showErrorMessage="1" error="Expense ratio cannot be negative" sqref="F12:G12" xr:uid="{81BBC662-E267-4C62-BA69-5C5C86EABB24}">
      <formula1>0</formula1>
    </dataValidation>
    <dataValidation type="decimal" operator="greaterThanOrEqual" allowBlank="1" showInputMessage="1" showErrorMessage="1" error="Acquisition cost ratio cannot be negative" sqref="F13:G13" xr:uid="{B277A696-B011-464E-BAC6-3C00B2826307}">
      <formula1>0</formula1>
    </dataValidation>
    <dataValidation type="decimal" operator="greaterThanOrEqual" allowBlank="1" showInputMessage="1" showErrorMessage="1" error="Risk adjustment percentage cannot be negative" sqref="F14:G14" xr:uid="{8514CB2A-9596-4EB4-8083-70DB118D7C69}">
      <formula1>0</formula1>
    </dataValidation>
    <dataValidation type="decimal" operator="greaterThan" allowBlank="1" showInputMessage="1" showErrorMessage="1" error="Total premiums have to be greater than zero" sqref="F21" xr:uid="{449C8843-F017-431E-BC09-A005481BC68A}">
      <formula1>0</formula1>
    </dataValidation>
    <dataValidation type="decimal" operator="greaterThanOrEqual" allowBlank="1" showInputMessage="1" showErrorMessage="1" error="Discount rate cannot be negative" sqref="F17:G18" xr:uid="{3054CD54-8AF8-41D8-89C0-24E7C6655428}">
      <formula1>0</formula1>
    </dataValidation>
    <dataValidation type="decimal" operator="greaterThan" allowBlank="1" showInputMessage="1" showErrorMessage="1" error="Risk distribution weights have to be greater than zero" sqref="P71:Q90 P40:Q59 P102:Q121 U40:U59 U71:U90 U102:U121" xr:uid="{C6330B9D-7D1F-49B0-A9BF-109C5886899F}">
      <formula1>0</formula1>
    </dataValidation>
    <dataValidation type="decimal" operator="greaterThan" allowBlank="1" showInputMessage="1" showErrorMessage="1" error="Coverage units have to be greater than zero" sqref="J71:M90 J102:M121 J40:M59 O71:O90 O40:O59 O102:O121 T71:T90 T102:T121" xr:uid="{19194C65-5142-4BFA-85A0-24CCCFB16C83}">
      <formula1>0</formula1>
    </dataValidation>
    <dataValidation type="list" operator="greaterThanOrEqual" allowBlank="1" showInputMessage="1" showErrorMessage="1" error="Discount rate cannot be negative" sqref="F23:F25 F27 F29" xr:uid="{E4509A1A-1DA8-499F-9102-5B6D4A426293}">
      <formula1>"yes, no"</formula1>
    </dataValidation>
    <dataValidation type="list" operator="greaterThanOrEqual" allowBlank="1" showInputMessage="1" showErrorMessage="1" error="Discount rate cannot be negative" sqref="F26" xr:uid="{69C5758F-82DE-434B-8B92-060959B04D65}">
      <formula1>"time, policies IF, risk, immediate"</formula1>
    </dataValidation>
    <dataValidation type="decimal" allowBlank="1" showInputMessage="1" showErrorMessage="1" error="Lapsre ratio should be between 0 and 100%" sqref="F19:G19" xr:uid="{70015116-3075-4331-9182-4CB1ACF2CAB7}">
      <formula1>0</formula1>
      <formula2>1</formula2>
    </dataValidation>
    <dataValidation type="list" allowBlank="1" showInputMessage="1" showErrorMessage="1" sqref="F8" xr:uid="{632F91BE-F2EF-413C-83B3-DC25A964B4F7}">
      <formula1>$C$40:$C$59</formula1>
    </dataValidation>
    <dataValidation type="decimal" operator="greaterThanOrEqual" allowBlank="1" showInputMessage="1" showErrorMessage="1" error="Claims ratio cannot be negative" sqref="F11:G11" xr:uid="{4FFFCE89-55AA-42B3-B56B-28BE7DD1D6B9}">
      <formula1>0</formula1>
    </dataValidation>
    <dataValidation type="decimal" operator="greaterThanOrEqual" allowBlank="1" showInputMessage="1" showErrorMessage="1" error="Coverage units have to be greater than zero" sqref="T40:T59" xr:uid="{94CDAD72-D2BA-4286-8B61-EBB6DB2CB7FC}">
      <formula1>0</formula1>
    </dataValidation>
    <dataValidation type="list" operator="greaterThanOrEqual" allowBlank="1" showInputMessage="1" showErrorMessage="1" error="Discount rate cannot be negative" sqref="F28" xr:uid="{7B6BEB50-88A5-4CDB-95B1-B4E81E12E254}">
      <formula1>"time, policies IF, risk"</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B00EB-DB54-4203-A9CB-5E423A40DEF4}">
  <sheetPr>
    <tabColor theme="9" tint="-0.249977111117893"/>
  </sheetPr>
  <dimension ref="B3:C68"/>
  <sheetViews>
    <sheetView zoomScale="70" zoomScaleNormal="70" zoomScaleSheetLayoutView="70" workbookViewId="0">
      <pane ySplit="3" topLeftCell="A4" activePane="bottomLeft" state="frozen"/>
      <selection pane="bottomLeft" activeCell="A24" sqref="A24"/>
    </sheetView>
  </sheetViews>
  <sheetFormatPr defaultColWidth="9.15625" defaultRowHeight="12.3" x14ac:dyDescent="0.4"/>
  <cols>
    <col min="1" max="1" width="4.578125" style="99" customWidth="1"/>
    <col min="2" max="2" width="24.41796875" style="99" customWidth="1"/>
    <col min="3" max="3" width="113.3671875" style="99" customWidth="1"/>
    <col min="4" max="16384" width="9.15625" style="99"/>
  </cols>
  <sheetData>
    <row r="3" spans="2:3" ht="14.5" customHeight="1" x14ac:dyDescent="0.4"/>
    <row r="4" spans="2:3" ht="14.5" customHeight="1" x14ac:dyDescent="0.4"/>
    <row r="5" spans="2:3" x14ac:dyDescent="0.4">
      <c r="B5" s="100" t="s">
        <v>138</v>
      </c>
      <c r="C5" s="100" t="s">
        <v>130</v>
      </c>
    </row>
    <row r="6" spans="2:3" ht="15.75" customHeight="1" x14ac:dyDescent="0.4">
      <c r="B6" s="179" t="s">
        <v>358</v>
      </c>
      <c r="C6" s="163" t="s">
        <v>420</v>
      </c>
    </row>
    <row r="7" spans="2:3" ht="15.75" customHeight="1" x14ac:dyDescent="0.4">
      <c r="B7" s="179"/>
      <c r="C7" s="163" t="s">
        <v>421</v>
      </c>
    </row>
    <row r="8" spans="2:3" ht="15.75" customHeight="1" x14ac:dyDescent="0.4">
      <c r="B8" s="179"/>
      <c r="C8" s="163" t="s">
        <v>423</v>
      </c>
    </row>
    <row r="9" spans="2:3" ht="15.75" customHeight="1" x14ac:dyDescent="0.4">
      <c r="B9" s="180"/>
      <c r="C9" s="164" t="s">
        <v>424</v>
      </c>
    </row>
    <row r="10" spans="2:3" ht="15.75" customHeight="1" x14ac:dyDescent="0.4">
      <c r="B10" s="180"/>
      <c r="C10" s="164" t="s">
        <v>425</v>
      </c>
    </row>
    <row r="11" spans="2:3" ht="15.75" customHeight="1" thickBot="1" x14ac:dyDescent="0.45">
      <c r="B11" s="181"/>
      <c r="C11" s="165" t="s">
        <v>422</v>
      </c>
    </row>
    <row r="12" spans="2:3" x14ac:dyDescent="0.4">
      <c r="B12" s="178" t="s">
        <v>139</v>
      </c>
      <c r="C12" s="166" t="s">
        <v>478</v>
      </c>
    </row>
    <row r="13" spans="2:3" x14ac:dyDescent="0.4">
      <c r="B13" s="179"/>
      <c r="C13" s="163" t="s">
        <v>426</v>
      </c>
    </row>
    <row r="14" spans="2:3" x14ac:dyDescent="0.4">
      <c r="B14" s="179"/>
      <c r="C14" s="163" t="s">
        <v>427</v>
      </c>
    </row>
    <row r="15" spans="2:3" ht="12.6" thickBot="1" x14ac:dyDescent="0.45">
      <c r="B15" s="181"/>
      <c r="C15" s="165" t="s">
        <v>428</v>
      </c>
    </row>
    <row r="16" spans="2:3" ht="15.75" customHeight="1" x14ac:dyDescent="0.4">
      <c r="B16" s="178" t="s">
        <v>359</v>
      </c>
      <c r="C16" s="166" t="s">
        <v>429</v>
      </c>
    </row>
    <row r="17" spans="2:3" ht="24.6" x14ac:dyDescent="0.4">
      <c r="B17" s="179"/>
      <c r="C17" s="163" t="s">
        <v>430</v>
      </c>
    </row>
    <row r="18" spans="2:3" ht="12.6" thickBot="1" x14ac:dyDescent="0.45">
      <c r="B18" s="179"/>
      <c r="C18" s="163" t="s">
        <v>431</v>
      </c>
    </row>
    <row r="19" spans="2:3" ht="27.9" customHeight="1" thickBot="1" x14ac:dyDescent="0.45">
      <c r="B19" s="157" t="s">
        <v>437</v>
      </c>
      <c r="C19" s="167" t="s">
        <v>479</v>
      </c>
    </row>
    <row r="20" spans="2:3" ht="15.75" customHeight="1" x14ac:dyDescent="0.4">
      <c r="B20" s="182" t="s">
        <v>434</v>
      </c>
      <c r="C20" s="166" t="s">
        <v>432</v>
      </c>
    </row>
    <row r="21" spans="2:3" ht="12.6" thickBot="1" x14ac:dyDescent="0.45">
      <c r="B21" s="184"/>
      <c r="C21" s="165" t="s">
        <v>433</v>
      </c>
    </row>
    <row r="22" spans="2:3" ht="15.75" customHeight="1" x14ac:dyDescent="0.4">
      <c r="B22" s="178" t="s">
        <v>435</v>
      </c>
      <c r="C22" s="166" t="s">
        <v>436</v>
      </c>
    </row>
    <row r="23" spans="2:3" ht="12.75" customHeight="1" thickBot="1" x14ac:dyDescent="0.45">
      <c r="B23" s="181"/>
      <c r="C23" s="165" t="s">
        <v>438</v>
      </c>
    </row>
    <row r="24" spans="2:3" ht="15.75" customHeight="1" x14ac:dyDescent="0.4">
      <c r="B24" s="178" t="s">
        <v>156</v>
      </c>
      <c r="C24" s="166" t="s">
        <v>439</v>
      </c>
    </row>
    <row r="25" spans="2:3" x14ac:dyDescent="0.4">
      <c r="B25" s="179"/>
      <c r="C25" s="163" t="s">
        <v>441</v>
      </c>
    </row>
    <row r="26" spans="2:3" ht="12.6" thickBot="1" x14ac:dyDescent="0.45">
      <c r="B26" s="181"/>
      <c r="C26" s="165" t="s">
        <v>440</v>
      </c>
    </row>
    <row r="27" spans="2:3" ht="15.75" customHeight="1" x14ac:dyDescent="0.4">
      <c r="B27" s="178" t="s">
        <v>360</v>
      </c>
      <c r="C27" s="166" t="s">
        <v>442</v>
      </c>
    </row>
    <row r="28" spans="2:3" ht="12.6" thickBot="1" x14ac:dyDescent="0.45">
      <c r="B28" s="181"/>
      <c r="C28" s="165" t="s">
        <v>441</v>
      </c>
    </row>
    <row r="29" spans="2:3" ht="15.75" customHeight="1" thickBot="1" x14ac:dyDescent="0.45">
      <c r="B29" s="162" t="s">
        <v>118</v>
      </c>
      <c r="C29" s="166" t="s">
        <v>443</v>
      </c>
    </row>
    <row r="30" spans="2:3" ht="15.75" customHeight="1" x14ac:dyDescent="0.4">
      <c r="B30" s="178" t="s">
        <v>445</v>
      </c>
      <c r="C30" s="166" t="s">
        <v>140</v>
      </c>
    </row>
    <row r="31" spans="2:3" x14ac:dyDescent="0.4">
      <c r="B31" s="179"/>
      <c r="C31" s="168" t="s">
        <v>446</v>
      </c>
    </row>
    <row r="32" spans="2:3" x14ac:dyDescent="0.4">
      <c r="B32" s="180"/>
      <c r="C32" s="168" t="s">
        <v>447</v>
      </c>
    </row>
    <row r="33" spans="2:3" ht="12.6" thickBot="1" x14ac:dyDescent="0.45">
      <c r="B33" s="181"/>
      <c r="C33" s="165" t="s">
        <v>444</v>
      </c>
    </row>
    <row r="34" spans="2:3" ht="15.75" customHeight="1" x14ac:dyDescent="0.4">
      <c r="B34" s="178" t="s">
        <v>448</v>
      </c>
      <c r="C34" s="166" t="s">
        <v>140</v>
      </c>
    </row>
    <row r="35" spans="2:3" x14ac:dyDescent="0.4">
      <c r="B35" s="179"/>
      <c r="C35" s="163" t="s">
        <v>449</v>
      </c>
    </row>
    <row r="36" spans="2:3" x14ac:dyDescent="0.4">
      <c r="B36" s="180"/>
      <c r="C36" s="164" t="s">
        <v>450</v>
      </c>
    </row>
    <row r="37" spans="2:3" ht="12.6" thickBot="1" x14ac:dyDescent="0.45">
      <c r="B37" s="181"/>
      <c r="C37" s="165" t="s">
        <v>444</v>
      </c>
    </row>
    <row r="38" spans="2:3" ht="15.75" customHeight="1" x14ac:dyDescent="0.4">
      <c r="B38" s="178" t="s">
        <v>361</v>
      </c>
      <c r="C38" s="166" t="s">
        <v>140</v>
      </c>
    </row>
    <row r="39" spans="2:3" x14ac:dyDescent="0.4">
      <c r="B39" s="179"/>
      <c r="C39" s="163" t="s">
        <v>451</v>
      </c>
    </row>
    <row r="40" spans="2:3" ht="12.6" thickBot="1" x14ac:dyDescent="0.45">
      <c r="B40" s="181"/>
      <c r="C40" s="165" t="s">
        <v>452</v>
      </c>
    </row>
    <row r="41" spans="2:3" ht="15.75" customHeight="1" x14ac:dyDescent="0.4">
      <c r="B41" s="178" t="s">
        <v>461</v>
      </c>
      <c r="C41" s="166" t="s">
        <v>141</v>
      </c>
    </row>
    <row r="42" spans="2:3" x14ac:dyDescent="0.4">
      <c r="B42" s="179"/>
      <c r="C42" s="163" t="s">
        <v>454</v>
      </c>
    </row>
    <row r="43" spans="2:3" x14ac:dyDescent="0.4">
      <c r="B43" s="179"/>
      <c r="C43" s="163" t="s">
        <v>455</v>
      </c>
    </row>
    <row r="44" spans="2:3" x14ac:dyDescent="0.4">
      <c r="B44" s="179"/>
      <c r="C44" s="163" t="s">
        <v>456</v>
      </c>
    </row>
    <row r="45" spans="2:3" x14ac:dyDescent="0.4">
      <c r="B45" s="180"/>
      <c r="C45" s="164" t="s">
        <v>457</v>
      </c>
    </row>
    <row r="46" spans="2:3" ht="12.6" thickBot="1" x14ac:dyDescent="0.45">
      <c r="B46" s="181"/>
      <c r="C46" s="165" t="s">
        <v>460</v>
      </c>
    </row>
    <row r="47" spans="2:3" ht="15.75" customHeight="1" x14ac:dyDescent="0.4">
      <c r="B47" s="178" t="s">
        <v>133</v>
      </c>
      <c r="C47" s="166" t="s">
        <v>140</v>
      </c>
    </row>
    <row r="48" spans="2:3" x14ac:dyDescent="0.4">
      <c r="B48" s="179"/>
      <c r="C48" s="163" t="s">
        <v>458</v>
      </c>
    </row>
    <row r="49" spans="2:3" x14ac:dyDescent="0.4">
      <c r="B49" s="179"/>
      <c r="C49" s="163" t="s">
        <v>459</v>
      </c>
    </row>
    <row r="50" spans="2:3" ht="12.6" thickBot="1" x14ac:dyDescent="0.45">
      <c r="B50" s="181"/>
      <c r="C50" s="165" t="s">
        <v>444</v>
      </c>
    </row>
    <row r="51" spans="2:3" ht="15.75" customHeight="1" x14ac:dyDescent="0.4">
      <c r="B51" s="178" t="s">
        <v>362</v>
      </c>
      <c r="C51" s="166" t="s">
        <v>142</v>
      </c>
    </row>
    <row r="52" spans="2:3" x14ac:dyDescent="0.4">
      <c r="B52" s="179"/>
      <c r="C52" s="163" t="s">
        <v>464</v>
      </c>
    </row>
    <row r="53" spans="2:3" x14ac:dyDescent="0.4">
      <c r="B53" s="179"/>
      <c r="C53" s="163" t="s">
        <v>465</v>
      </c>
    </row>
    <row r="54" spans="2:3" ht="12.6" thickBot="1" x14ac:dyDescent="0.45">
      <c r="B54" s="181"/>
      <c r="C54" s="165" t="s">
        <v>466</v>
      </c>
    </row>
    <row r="55" spans="2:3" x14ac:dyDescent="0.4">
      <c r="B55" s="182" t="s">
        <v>408</v>
      </c>
      <c r="C55" s="166" t="s">
        <v>140</v>
      </c>
    </row>
    <row r="56" spans="2:3" x14ac:dyDescent="0.4">
      <c r="B56" s="183"/>
      <c r="C56" s="169" t="s">
        <v>467</v>
      </c>
    </row>
    <row r="57" spans="2:3" ht="12.6" thickBot="1" x14ac:dyDescent="0.45">
      <c r="B57" s="184"/>
      <c r="C57" s="169" t="s">
        <v>468</v>
      </c>
    </row>
    <row r="58" spans="2:3" ht="15.75" customHeight="1" x14ac:dyDescent="0.4">
      <c r="B58" s="178" t="s">
        <v>70</v>
      </c>
      <c r="C58" s="166" t="s">
        <v>470</v>
      </c>
    </row>
    <row r="59" spans="2:3" x14ac:dyDescent="0.4">
      <c r="B59" s="179"/>
      <c r="C59" s="163" t="s">
        <v>471</v>
      </c>
    </row>
    <row r="60" spans="2:3" x14ac:dyDescent="0.4">
      <c r="B60" s="180"/>
      <c r="C60" s="164" t="s">
        <v>469</v>
      </c>
    </row>
    <row r="61" spans="2:3" ht="12.6" thickBot="1" x14ac:dyDescent="0.45">
      <c r="B61" s="181"/>
      <c r="C61" s="165" t="s">
        <v>472</v>
      </c>
    </row>
    <row r="62" spans="2:3" ht="15.75" customHeight="1" x14ac:dyDescent="0.4">
      <c r="B62" s="178" t="s">
        <v>39</v>
      </c>
      <c r="C62" s="166" t="s">
        <v>470</v>
      </c>
    </row>
    <row r="63" spans="2:3" x14ac:dyDescent="0.4">
      <c r="B63" s="179"/>
      <c r="C63" s="163" t="s">
        <v>369</v>
      </c>
    </row>
    <row r="64" spans="2:3" x14ac:dyDescent="0.4">
      <c r="B64" s="179"/>
      <c r="C64" s="163" t="s">
        <v>143</v>
      </c>
    </row>
    <row r="65" spans="2:3" ht="12.6" thickBot="1" x14ac:dyDescent="0.45">
      <c r="B65" s="181"/>
      <c r="C65" s="165" t="s">
        <v>473</v>
      </c>
    </row>
    <row r="66" spans="2:3" ht="14.4" customHeight="1" x14ac:dyDescent="0.4">
      <c r="B66" s="178" t="s">
        <v>475</v>
      </c>
      <c r="C66" s="166" t="s">
        <v>477</v>
      </c>
    </row>
    <row r="67" spans="2:3" x14ac:dyDescent="0.4">
      <c r="B67" s="179"/>
      <c r="C67" s="163" t="s">
        <v>470</v>
      </c>
    </row>
    <row r="68" spans="2:3" ht="12.6" thickBot="1" x14ac:dyDescent="0.45">
      <c r="B68" s="181"/>
      <c r="C68" s="165" t="s">
        <v>476</v>
      </c>
    </row>
  </sheetData>
  <sheetProtection algorithmName="SHA-512" hashValue="PF/c21jriIw00AFQrxGksccGMW9eM/cVnhucKxIGfTCKyA2f1ub+/5GTyDu6gPDdoXX4DBbUATtEA3lXCEz0Sg==" saltValue="LmhUw2OAudg4iswjsE4xuA==" spinCount="100000" sheet="1" objects="1" scenarios="1"/>
  <mergeCells count="17">
    <mergeCell ref="B24:B26"/>
    <mergeCell ref="B27:B28"/>
    <mergeCell ref="B30:B33"/>
    <mergeCell ref="B34:B37"/>
    <mergeCell ref="B41:B46"/>
    <mergeCell ref="B6:B11"/>
    <mergeCell ref="B12:B15"/>
    <mergeCell ref="B16:B18"/>
    <mergeCell ref="B20:B21"/>
    <mergeCell ref="B22:B23"/>
    <mergeCell ref="B58:B61"/>
    <mergeCell ref="B62:B65"/>
    <mergeCell ref="B55:B57"/>
    <mergeCell ref="B66:B68"/>
    <mergeCell ref="B38:B40"/>
    <mergeCell ref="B47:B50"/>
    <mergeCell ref="B51:B5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8B48C-26A1-4998-A1EE-DDC1D062DC4F}">
  <sheetPr>
    <tabColor theme="9" tint="-0.249977111117893"/>
  </sheetPr>
  <dimension ref="B3:G26"/>
  <sheetViews>
    <sheetView zoomScale="70" zoomScaleNormal="70" workbookViewId="0">
      <pane ySplit="3" topLeftCell="A4" activePane="bottomLeft" state="frozen"/>
      <selection pane="bottomLeft" activeCell="A28" sqref="A28"/>
    </sheetView>
  </sheetViews>
  <sheetFormatPr defaultColWidth="9.15625" defaultRowHeight="12.9" x14ac:dyDescent="0.5"/>
  <cols>
    <col min="1" max="1" width="5.15625" style="14" customWidth="1"/>
    <col min="2" max="2" width="9" style="159" customWidth="1"/>
    <col min="3" max="3" width="40.83984375" style="14" customWidth="1"/>
    <col min="4" max="16384" width="9.15625" style="14"/>
  </cols>
  <sheetData>
    <row r="3" spans="2:7" ht="14.5" customHeight="1" x14ac:dyDescent="0.5"/>
    <row r="4" spans="2:7" ht="14.5" customHeight="1" x14ac:dyDescent="0.5"/>
    <row r="5" spans="2:7" ht="14.5" customHeight="1" x14ac:dyDescent="0.5"/>
    <row r="6" spans="2:7" x14ac:dyDescent="0.5">
      <c r="B6" s="158" t="s">
        <v>386</v>
      </c>
      <c r="C6" s="160" t="s">
        <v>385</v>
      </c>
      <c r="D6" s="158" t="s">
        <v>370</v>
      </c>
      <c r="E6" s="158" t="s">
        <v>371</v>
      </c>
      <c r="F6" s="158" t="s">
        <v>372</v>
      </c>
      <c r="G6" s="158" t="s">
        <v>373</v>
      </c>
    </row>
    <row r="7" spans="2:7" x14ac:dyDescent="0.5">
      <c r="B7" s="159" t="s">
        <v>380</v>
      </c>
      <c r="C7" s="14" t="s">
        <v>376</v>
      </c>
      <c r="D7" s="159" t="str">
        <f ca="1">IF(ABS('2 years'!$AK$47)&lt;10^-3,"ok","diff")</f>
        <v>ok</v>
      </c>
      <c r="E7" s="159" t="str">
        <f ca="1">IF(ABS('3 years'!$AK$51)&lt;10^-3,"ok","diff")</f>
        <v>ok</v>
      </c>
      <c r="F7" s="159" t="str">
        <f ca="1">IF(ABS('4 years'!$AK$55)&lt;10^-3,"ok","diff")</f>
        <v>ok</v>
      </c>
      <c r="G7" s="159" t="str">
        <f ca="1">IF(ABS('5 years'!$AK$59)&lt;10^-3,"ok","diff")</f>
        <v>ok</v>
      </c>
    </row>
    <row r="8" spans="2:7" x14ac:dyDescent="0.5">
      <c r="B8" s="159" t="s">
        <v>380</v>
      </c>
      <c r="C8" s="14" t="s">
        <v>377</v>
      </c>
      <c r="D8" s="159" t="str">
        <f>IF(ABS('2 years'!$AL$47)&lt;10^-3,"ok","diff")</f>
        <v>ok</v>
      </c>
      <c r="E8" s="159" t="str">
        <f>IF(ABS('3 years'!$AL$51)&lt;10^-3,"ok","diff")</f>
        <v>ok</v>
      </c>
      <c r="F8" s="159" t="str">
        <f>IF(ABS('4 years'!$AL$55)&lt;10^-3,"ok","diff")</f>
        <v>ok</v>
      </c>
      <c r="G8" s="159" t="str">
        <f>IF(ABS('5 years'!$AL$59)&lt;10^-3,"ok","diff")</f>
        <v>ok</v>
      </c>
    </row>
    <row r="9" spans="2:7" x14ac:dyDescent="0.5">
      <c r="B9" s="159" t="s">
        <v>380</v>
      </c>
      <c r="C9" s="14" t="s">
        <v>378</v>
      </c>
      <c r="D9" s="159" t="str">
        <f ca="1">IF(ABS('2 years'!$AN$47)&lt;10^-3,"ok","diff")</f>
        <v>ok</v>
      </c>
      <c r="E9" s="159" t="str">
        <f ca="1">IF(ABS('3 years'!$AN$51)&lt;10^-3,"ok","diff")</f>
        <v>ok</v>
      </c>
      <c r="F9" s="159" t="str">
        <f ca="1">IF(ABS('4 years'!$AN$55)&lt;10^-3,"ok","diff")</f>
        <v>ok</v>
      </c>
      <c r="G9" s="159" t="str">
        <f ca="1">IF(ABS('5 years'!$AN$59)&lt;10^-3,"ok","diff")</f>
        <v>ok</v>
      </c>
    </row>
    <row r="10" spans="2:7" x14ac:dyDescent="0.5">
      <c r="B10" s="159" t="s">
        <v>380</v>
      </c>
      <c r="C10" s="14" t="s">
        <v>379</v>
      </c>
      <c r="D10" s="159" t="str">
        <f ca="1">IF(ABS('2 years'!$AO$47)&lt;10^-3,"ok","diff")</f>
        <v>ok</v>
      </c>
      <c r="E10" s="159" t="str">
        <f ca="1">IF(ABS('3 years'!$AO$51)&lt;10^-3,"ok","diff")</f>
        <v>ok</v>
      </c>
      <c r="F10" s="159" t="str">
        <f ca="1">IF(ABS('4 years'!$AO$55)&lt;10^-3,"ok","diff")</f>
        <v>ok</v>
      </c>
      <c r="G10" s="159" t="str">
        <f ca="1">IF(ABS('5 years'!$AO$59)&lt;10^-3,"ok","diff")</f>
        <v>ok</v>
      </c>
    </row>
    <row r="11" spans="2:7" x14ac:dyDescent="0.5">
      <c r="B11" s="159" t="s">
        <v>381</v>
      </c>
      <c r="C11" s="14" t="s">
        <v>376</v>
      </c>
      <c r="D11" s="159" t="str">
        <f ca="1">IF(ABS('2 years'!$AK$66)&lt;10^-3,"ok","diff")</f>
        <v>ok</v>
      </c>
      <c r="E11" s="159" t="str">
        <f ca="1">IF(ABS('3 years'!$AK$74)&lt;10^-3,"ok","diff")</f>
        <v>ok</v>
      </c>
      <c r="F11" s="159" t="str">
        <f ca="1">IF(ABS('4 years'!$AK$82)&lt;10^-3,"ok","diff")</f>
        <v>ok</v>
      </c>
      <c r="G11" s="159" t="str">
        <f ca="1">IF(ABS('5 years'!$AK$90)&lt;10^-3,"ok","diff")</f>
        <v>ok</v>
      </c>
    </row>
    <row r="12" spans="2:7" x14ac:dyDescent="0.5">
      <c r="B12" s="159" t="s">
        <v>381</v>
      </c>
      <c r="C12" s="14" t="s">
        <v>377</v>
      </c>
      <c r="D12" s="159" t="str">
        <f>IF(ABS('2 years'!$AL$66)&lt;10^-3,"ok","diff")</f>
        <v>ok</v>
      </c>
      <c r="E12" s="159" t="str">
        <f>IF(ABS('3 years'!$AL$74)&lt;10^-3,"ok","diff")</f>
        <v>ok</v>
      </c>
      <c r="F12" s="159" t="str">
        <f>IF(ABS('4 years'!$AL$82)&lt;10^-3,"ok","diff")</f>
        <v>ok</v>
      </c>
      <c r="G12" s="159" t="str">
        <f>IF(ABS('5 years'!$AL$90)&lt;10^-3,"ok","diff")</f>
        <v>ok</v>
      </c>
    </row>
    <row r="13" spans="2:7" x14ac:dyDescent="0.5">
      <c r="B13" s="159" t="s">
        <v>381</v>
      </c>
      <c r="C13" s="14" t="s">
        <v>378</v>
      </c>
      <c r="D13" s="159" t="str">
        <f ca="1">IF(ABS('2 years'!$AN$66)&lt;10^-3,"ok","diff")</f>
        <v>ok</v>
      </c>
      <c r="E13" s="159" t="str">
        <f ca="1">IF(ABS('3 years'!$AN$74)&lt;10^-3,"ok","diff")</f>
        <v>ok</v>
      </c>
      <c r="F13" s="159" t="str">
        <f ca="1">IF(ABS('4 years'!$AN$82)&lt;10^-3,"ok","diff")</f>
        <v>ok</v>
      </c>
      <c r="G13" s="159" t="str">
        <f ca="1">IF(ABS('5 years'!$AN$90)&lt;10^-3,"ok","diff")</f>
        <v>ok</v>
      </c>
    </row>
    <row r="14" spans="2:7" x14ac:dyDescent="0.5">
      <c r="B14" s="159" t="s">
        <v>381</v>
      </c>
      <c r="C14" s="14" t="s">
        <v>379</v>
      </c>
      <c r="D14" s="159" t="str">
        <f ca="1">IF(ABS('2 years'!$AO$66)&lt;10^-3,"ok","diff")</f>
        <v>ok</v>
      </c>
      <c r="E14" s="159" t="str">
        <f ca="1">IF(ABS('3 years'!$AO$74)&lt;10^-3,"ok","diff")</f>
        <v>ok</v>
      </c>
      <c r="F14" s="159" t="str">
        <f ca="1">IF(ABS('4 years'!$AO$82)&lt;10^-3,"ok","diff")</f>
        <v>ok</v>
      </c>
      <c r="G14" s="159" t="str">
        <f ca="1">IF(ABS('5 years'!$AO$90)&lt;10^-3,"ok","diff")</f>
        <v>ok</v>
      </c>
    </row>
    <row r="15" spans="2:7" x14ac:dyDescent="0.5">
      <c r="B15" s="159" t="s">
        <v>382</v>
      </c>
      <c r="C15" s="14" t="s">
        <v>376</v>
      </c>
      <c r="D15" s="159" t="str">
        <f ca="1">IF(ABS('2 years'!$AK$85)&lt;10^-3,"ok","diff")</f>
        <v>ok</v>
      </c>
      <c r="E15" s="159" t="str">
        <f ca="1">IF(ABS('3 years'!$AK$97)&lt;10^-3,"ok","diff")</f>
        <v>ok</v>
      </c>
      <c r="F15" s="159" t="str">
        <f ca="1">IF(ABS('4 years'!$AK$109)&lt;10^-3,"ok","diff")</f>
        <v>ok</v>
      </c>
      <c r="G15" s="159" t="str">
        <f ca="1">IF(ABS('5 years'!$AK$121)&lt;10^-3,"ok","diff")</f>
        <v>ok</v>
      </c>
    </row>
    <row r="16" spans="2:7" x14ac:dyDescent="0.5">
      <c r="B16" s="159" t="s">
        <v>382</v>
      </c>
      <c r="C16" s="14" t="s">
        <v>377</v>
      </c>
      <c r="D16" s="159" t="str">
        <f>IF(ABS('2 years'!$AL$85)&lt;10^-3,"ok","diff")</f>
        <v>ok</v>
      </c>
      <c r="E16" s="159" t="str">
        <f>IF(ABS('3 years'!$AL$97)&lt;10^-3,"ok","diff")</f>
        <v>ok</v>
      </c>
      <c r="F16" s="159" t="str">
        <f>IF(ABS('4 years'!$AL$109)&lt;10^-3,"ok","diff")</f>
        <v>ok</v>
      </c>
      <c r="G16" s="159" t="str">
        <f>IF(ABS('5 years'!$AL$121)&lt;10^-3,"ok","diff")</f>
        <v>ok</v>
      </c>
    </row>
    <row r="17" spans="2:7" x14ac:dyDescent="0.5">
      <c r="B17" s="159" t="s">
        <v>382</v>
      </c>
      <c r="C17" s="14" t="s">
        <v>378</v>
      </c>
      <c r="D17" s="159" t="str">
        <f ca="1">IF(ABS('2 years'!$AN$85)&lt;10^-3,"ok","diff")</f>
        <v>ok</v>
      </c>
      <c r="E17" s="159" t="str">
        <f ca="1">IF(ABS('3 years'!$AN$97)&lt;10^-3,"ok","diff")</f>
        <v>ok</v>
      </c>
      <c r="F17" s="159" t="str">
        <f ca="1">IF(ABS('4 years'!$AN$109)&lt;10^-3,"ok","diff")</f>
        <v>ok</v>
      </c>
      <c r="G17" s="159" t="str">
        <f ca="1">IF(ABS('5 years'!$AN$121)&lt;10^-3,"ok","diff")</f>
        <v>ok</v>
      </c>
    </row>
    <row r="18" spans="2:7" x14ac:dyDescent="0.5">
      <c r="B18" s="159" t="s">
        <v>382</v>
      </c>
      <c r="C18" s="14" t="s">
        <v>379</v>
      </c>
      <c r="D18" s="159" t="str">
        <f ca="1">IF(ABS('2 years'!$AO$85)&lt;10^-3,"ok","diff")</f>
        <v>ok</v>
      </c>
      <c r="E18" s="159" t="str">
        <f ca="1">IF(ABS('3 years'!$AO$97)&lt;10^-3,"ok","diff")</f>
        <v>ok</v>
      </c>
      <c r="F18" s="159" t="str">
        <f ca="1">IF(ABS('4 years'!$AO$109)&lt;10^-3,"ok","diff")</f>
        <v>ok</v>
      </c>
      <c r="G18" s="159" t="str">
        <f ca="1">IF(ABS('5 years'!$AO$121)&lt;10^-3,"ok","diff")</f>
        <v>ok</v>
      </c>
    </row>
    <row r="19" spans="2:7" x14ac:dyDescent="0.5">
      <c r="B19" s="159" t="s">
        <v>383</v>
      </c>
      <c r="C19" s="14" t="s">
        <v>384</v>
      </c>
      <c r="D19" s="159" t="str">
        <f ca="1">IF(ABS('2 years'!$M$104)&lt;10^-3,"ok","diff")</f>
        <v>ok</v>
      </c>
      <c r="E19" s="159" t="str">
        <f ca="1">IF(ABS('3 years'!$M$120)&lt;10^-3,"ok","diff")</f>
        <v>ok</v>
      </c>
      <c r="F19" s="159" t="str">
        <f ca="1">IF(ABS('4 years'!$M$136)&lt;10^-3,"ok","diff")</f>
        <v>ok</v>
      </c>
      <c r="G19" s="159" t="str">
        <f ca="1">IF(ABS('5 years'!$M$152)&lt;10^-3,"ok","diff")</f>
        <v>ok</v>
      </c>
    </row>
    <row r="20" spans="2:7" x14ac:dyDescent="0.5">
      <c r="B20" s="159" t="s">
        <v>383</v>
      </c>
      <c r="C20" s="14" t="s">
        <v>377</v>
      </c>
      <c r="D20" s="159" t="str">
        <f>IF(ABS('2 years'!$U$104)&lt;10^-3,"ok","diff")</f>
        <v>ok</v>
      </c>
      <c r="E20" s="159" t="str">
        <f>IF(ABS('3 years'!$U$120)&lt;10^-3,"ok","diff")</f>
        <v>ok</v>
      </c>
      <c r="F20" s="159" t="str">
        <f>IF(ABS('4 years'!$U$136)&lt;10^-3,"ok","diff")</f>
        <v>ok</v>
      </c>
      <c r="G20" s="159" t="str">
        <f>IF(ABS('5 years'!$U$152)&lt;10^-3,"ok","diff")</f>
        <v>ok</v>
      </c>
    </row>
    <row r="21" spans="2:7" x14ac:dyDescent="0.5">
      <c r="B21" s="159" t="s">
        <v>383</v>
      </c>
      <c r="C21" s="14" t="s">
        <v>387</v>
      </c>
      <c r="D21" s="159" t="str">
        <f ca="1">IF(ABS('2 years'!$AE$104)&lt;10^-3,"ok","diff")</f>
        <v>ok</v>
      </c>
      <c r="E21" s="159" t="str">
        <f ca="1">IF(ABS('3 years'!$AE$120)&lt;10^-3,"ok","diff")</f>
        <v>ok</v>
      </c>
      <c r="F21" s="159" t="str">
        <f ca="1">IF(ABS('4 years'!$AE$136)&lt;10^-3,"ok","diff")</f>
        <v>ok</v>
      </c>
      <c r="G21" s="159" t="str">
        <f ca="1">IF(ABS('5 years'!$AE$152)&lt;10^-3,"ok","diff")</f>
        <v>ok</v>
      </c>
    </row>
    <row r="22" spans="2:7" x14ac:dyDescent="0.5">
      <c r="B22" s="159" t="s">
        <v>383</v>
      </c>
      <c r="C22" s="14" t="s">
        <v>388</v>
      </c>
      <c r="D22" s="159" t="str">
        <f ca="1">IF(ABS('2 years'!$AO$104)&lt;10^-3,"ok","diff")</f>
        <v>ok</v>
      </c>
      <c r="E22" s="159" t="str">
        <f ca="1">IF(ABS('3 years'!$AO$120)&lt;10^-3,"ok","diff")</f>
        <v>ok</v>
      </c>
      <c r="F22" s="159" t="str">
        <f ca="1">IF(ABS('4 years'!$AO$136)&lt;10^-3,"ok","diff")</f>
        <v>ok</v>
      </c>
      <c r="G22" s="159" t="str">
        <f ca="1">IF(ABS('5 years'!$AO$152)&lt;10^-3,"ok","diff")</f>
        <v>ok</v>
      </c>
    </row>
    <row r="23" spans="2:7" x14ac:dyDescent="0.5">
      <c r="B23" s="159" t="s">
        <v>389</v>
      </c>
      <c r="C23" s="14" t="s">
        <v>390</v>
      </c>
      <c r="D23" s="159" t="str">
        <f>IF(ABS('2 years'!$J$123)&lt;10^-3,"ok","diff")</f>
        <v>ok</v>
      </c>
      <c r="E23" s="159" t="str">
        <f>IF(ABS('3 years'!$J$143)&lt;10^-3,"ok","diff")</f>
        <v>ok</v>
      </c>
      <c r="F23" s="159" t="str">
        <f>IF(ABS('4 years'!$J$163)&lt;10^-3,"ok","diff")</f>
        <v>ok</v>
      </c>
      <c r="G23" s="159" t="str">
        <f>IF(ABS('5 years'!$J$183)&lt;10^-3,"ok","diff")</f>
        <v>ok</v>
      </c>
    </row>
    <row r="24" spans="2:7" x14ac:dyDescent="0.5">
      <c r="B24" s="159" t="s">
        <v>389</v>
      </c>
      <c r="C24" s="14" t="s">
        <v>417</v>
      </c>
      <c r="D24" s="159" t="str">
        <f ca="1">IF(ABS('2 years'!$P$123)&lt;10^-3,"ok","diff")</f>
        <v>ok</v>
      </c>
      <c r="E24" s="159" t="str">
        <f ca="1">IF(ABS('3 years'!$P$143)&lt;10^-3,"ok","diff")</f>
        <v>ok</v>
      </c>
      <c r="F24" s="159" t="str">
        <f ca="1">IF(ABS('4 years'!$P$163)&lt;10^-3,"ok","diff")</f>
        <v>ok</v>
      </c>
      <c r="G24" s="159" t="str">
        <f ca="1">IF(ABS('5 years'!$P$183)&lt;10^-3,"ok","diff")</f>
        <v>ok</v>
      </c>
    </row>
    <row r="25" spans="2:7" x14ac:dyDescent="0.5">
      <c r="B25" s="159" t="s">
        <v>389</v>
      </c>
      <c r="C25" s="14" t="s">
        <v>374</v>
      </c>
      <c r="D25" s="159" t="str">
        <f ca="1">IF(ABS('2 years'!$Y$123)&lt;10^-3,"ok","diff")</f>
        <v>diff</v>
      </c>
      <c r="E25" s="159" t="str">
        <f ca="1">IF(ABS('3 years'!$Y$143)&lt;10^-3,"ok","diff")</f>
        <v>diff</v>
      </c>
      <c r="F25" s="159" t="str">
        <f ca="1">IF(ABS('4 years'!$Z$163)&lt;10^-3,"ok","diff")</f>
        <v>ok</v>
      </c>
      <c r="G25" s="159" t="str">
        <f ca="1">IF(ABS('5 years'!$Y$183)&lt;10^-3,"ok","diff")</f>
        <v>diff</v>
      </c>
    </row>
    <row r="26" spans="2:7" x14ac:dyDescent="0.5">
      <c r="B26" s="159" t="s">
        <v>389</v>
      </c>
      <c r="C26" s="14" t="s">
        <v>375</v>
      </c>
      <c r="D26" s="159" t="str">
        <f ca="1">IF(ABS('2 years'!$Z$123)&lt;10^-3,"ok","diff")</f>
        <v>ok</v>
      </c>
      <c r="E26" s="159" t="str">
        <f ca="1">IF(ABS('3 years'!$Z$143)&lt;10^-3,"ok","diff")</f>
        <v>ok</v>
      </c>
      <c r="F26" s="159" t="str">
        <f ca="1">IF(ABS('4 years'!$Y$163)&lt;10^-3,"ok","diff")</f>
        <v>diff</v>
      </c>
      <c r="G26" s="159" t="str">
        <f ca="1">IF(ABS('5 years'!$Z$183)&lt;10^-3,"ok","diff")</f>
        <v>ok</v>
      </c>
    </row>
  </sheetData>
  <sheetProtection algorithmName="SHA-512" hashValue="NntqXpH6ijjsQvqGyw5M5DcZeHHFPb9b0KNLAuA3JKE+cTScWSstxgAtLO0mKaWLXyYUYPIn3yCoTeW3Vu65wA==" saltValue="O136FgXUy4Zzhl7yFwh6qg==" spinCount="100000" sheet="1" objects="1" scenarios="1"/>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249977111117893"/>
  </sheetPr>
  <dimension ref="C3:J25"/>
  <sheetViews>
    <sheetView zoomScale="80" zoomScaleNormal="80" workbookViewId="0">
      <pane ySplit="3" topLeftCell="A4" activePane="bottomLeft" state="frozen"/>
      <selection pane="bottomLeft" activeCell="M9" sqref="M9"/>
    </sheetView>
  </sheetViews>
  <sheetFormatPr defaultColWidth="9.15625" defaultRowHeight="12.9" x14ac:dyDescent="0.5"/>
  <cols>
    <col min="1" max="2" width="5.15625" style="14" customWidth="1"/>
    <col min="3" max="3" width="13.15625" style="14" customWidth="1"/>
    <col min="4" max="7" width="9.15625" style="14"/>
    <col min="8" max="8" width="13.15625" style="14" customWidth="1"/>
    <col min="9" max="16384" width="9.15625" style="14"/>
  </cols>
  <sheetData>
    <row r="3" spans="3:10" ht="14.5" customHeight="1" x14ac:dyDescent="0.5"/>
    <row r="4" spans="3:10" ht="14.5" customHeight="1" x14ac:dyDescent="0.5"/>
    <row r="5" spans="3:10" ht="14.5" customHeight="1" x14ac:dyDescent="0.5"/>
    <row r="6" spans="3:10" ht="14.5" customHeight="1" x14ac:dyDescent="0.5"/>
    <row r="7" spans="3:10" ht="15.6" x14ac:dyDescent="0.6">
      <c r="C7" s="29" t="s">
        <v>43</v>
      </c>
      <c r="D7" s="30"/>
      <c r="E7" s="30"/>
      <c r="F7" s="30"/>
      <c r="G7" s="30"/>
      <c r="H7" s="29"/>
      <c r="I7" s="30"/>
      <c r="J7" s="30"/>
    </row>
    <row r="8" spans="3:10" ht="8.5" customHeight="1" x14ac:dyDescent="0.6">
      <c r="C8" s="29"/>
      <c r="D8" s="30"/>
      <c r="E8" s="30"/>
      <c r="F8" s="30"/>
      <c r="G8" s="30"/>
      <c r="H8" s="29"/>
      <c r="I8" s="30"/>
      <c r="J8" s="30"/>
    </row>
    <row r="9" spans="3:10" ht="15.6" x14ac:dyDescent="0.6">
      <c r="C9" s="151" t="s">
        <v>410</v>
      </c>
      <c r="D9" s="151" t="s">
        <v>416</v>
      </c>
      <c r="F9" s="151"/>
      <c r="G9" s="151"/>
      <c r="H9" s="151" t="s">
        <v>44</v>
      </c>
      <c r="I9" s="151" t="s">
        <v>45</v>
      </c>
    </row>
    <row r="10" spans="3:10" ht="15.6" x14ac:dyDescent="0.6">
      <c r="C10" s="151" t="s">
        <v>55</v>
      </c>
      <c r="D10" s="151" t="s">
        <v>56</v>
      </c>
      <c r="E10" s="151"/>
      <c r="F10" s="151"/>
      <c r="G10" s="151"/>
      <c r="H10" s="151" t="s">
        <v>48</v>
      </c>
      <c r="I10" s="151" t="s">
        <v>347</v>
      </c>
      <c r="J10" s="30"/>
    </row>
    <row r="11" spans="3:10" ht="15.6" x14ac:dyDescent="0.6">
      <c r="C11" s="151" t="s">
        <v>345</v>
      </c>
      <c r="D11" s="151" t="s">
        <v>346</v>
      </c>
      <c r="F11" s="151"/>
      <c r="G11" s="151"/>
      <c r="H11" s="151" t="s">
        <v>154</v>
      </c>
      <c r="I11" s="151" t="s">
        <v>339</v>
      </c>
      <c r="J11" s="30"/>
    </row>
    <row r="12" spans="3:10" ht="15.6" x14ac:dyDescent="0.6">
      <c r="C12" s="151" t="s">
        <v>462</v>
      </c>
      <c r="D12" s="151" t="s">
        <v>463</v>
      </c>
      <c r="E12" s="151"/>
      <c r="F12" s="151"/>
      <c r="G12" s="151"/>
      <c r="H12" s="151" t="s">
        <v>418</v>
      </c>
      <c r="I12" s="151" t="s">
        <v>419</v>
      </c>
    </row>
    <row r="13" spans="3:10" ht="15.6" x14ac:dyDescent="0.6">
      <c r="C13" s="151" t="s">
        <v>350</v>
      </c>
      <c r="D13" s="151" t="s">
        <v>351</v>
      </c>
      <c r="F13" s="151"/>
      <c r="G13" s="151"/>
      <c r="H13" s="151" t="s">
        <v>185</v>
      </c>
      <c r="I13" s="151" t="s">
        <v>186</v>
      </c>
    </row>
    <row r="14" spans="3:10" ht="15.6" x14ac:dyDescent="0.6">
      <c r="C14" s="151" t="s">
        <v>348</v>
      </c>
      <c r="D14" s="151" t="s">
        <v>349</v>
      </c>
      <c r="E14" s="151"/>
      <c r="F14" s="151"/>
      <c r="G14" s="151"/>
      <c r="H14" s="151" t="s">
        <v>122</v>
      </c>
      <c r="I14" s="151" t="s">
        <v>123</v>
      </c>
    </row>
    <row r="15" spans="3:10" ht="15.6" x14ac:dyDescent="0.6">
      <c r="C15" s="151" t="s">
        <v>152</v>
      </c>
      <c r="D15" s="151" t="s">
        <v>184</v>
      </c>
      <c r="E15" s="151"/>
      <c r="F15" s="151"/>
      <c r="G15" s="151"/>
      <c r="H15" s="151" t="s">
        <v>51</v>
      </c>
      <c r="I15" s="151" t="s">
        <v>64</v>
      </c>
      <c r="J15" s="30"/>
    </row>
    <row r="16" spans="3:10" ht="15.6" x14ac:dyDescent="0.6">
      <c r="C16" s="151" t="s">
        <v>342</v>
      </c>
      <c r="D16" s="151" t="s">
        <v>343</v>
      </c>
      <c r="E16" s="151"/>
      <c r="F16" s="151"/>
      <c r="G16" s="151"/>
      <c r="H16" s="151" t="s">
        <v>412</v>
      </c>
      <c r="I16" s="151" t="s">
        <v>413</v>
      </c>
    </row>
    <row r="17" spans="3:10" ht="15.6" x14ac:dyDescent="0.6">
      <c r="C17" s="151" t="s">
        <v>60</v>
      </c>
      <c r="D17" s="151" t="s">
        <v>61</v>
      </c>
      <c r="E17" s="151"/>
      <c r="F17" s="151"/>
      <c r="G17" s="151"/>
      <c r="H17" s="151" t="s">
        <v>146</v>
      </c>
      <c r="I17" s="151" t="s">
        <v>163</v>
      </c>
      <c r="J17" s="30"/>
    </row>
    <row r="18" spans="3:10" ht="15.6" x14ac:dyDescent="0.6">
      <c r="C18" s="151" t="s">
        <v>66</v>
      </c>
      <c r="D18" s="151" t="s">
        <v>69</v>
      </c>
      <c r="E18" s="151"/>
      <c r="F18" s="151"/>
      <c r="G18" s="151"/>
      <c r="H18" s="151" t="s">
        <v>52</v>
      </c>
      <c r="I18" s="151" t="s">
        <v>40</v>
      </c>
      <c r="J18" s="30"/>
    </row>
    <row r="19" spans="3:10" ht="15.6" x14ac:dyDescent="0.6">
      <c r="C19" s="151" t="s">
        <v>411</v>
      </c>
      <c r="D19" s="151" t="s">
        <v>344</v>
      </c>
      <c r="E19" s="151"/>
      <c r="F19" s="151"/>
      <c r="G19" s="151"/>
      <c r="H19" s="151" t="s">
        <v>46</v>
      </c>
      <c r="I19" s="151" t="s">
        <v>47</v>
      </c>
      <c r="J19" s="30"/>
    </row>
    <row r="20" spans="3:10" ht="15.6" x14ac:dyDescent="0.6">
      <c r="C20" s="151" t="s">
        <v>4</v>
      </c>
      <c r="D20" s="151" t="s">
        <v>59</v>
      </c>
      <c r="E20" s="151"/>
      <c r="F20" s="152"/>
      <c r="G20" s="152"/>
      <c r="H20" s="151" t="s">
        <v>3</v>
      </c>
      <c r="I20" s="151" t="s">
        <v>57</v>
      </c>
      <c r="J20" s="30"/>
    </row>
    <row r="21" spans="3:10" ht="15.6" x14ac:dyDescent="0.6">
      <c r="C21" s="151" t="s">
        <v>53</v>
      </c>
      <c r="D21" s="151" t="s">
        <v>34</v>
      </c>
      <c r="E21" s="151"/>
      <c r="F21" s="152"/>
      <c r="G21" s="152"/>
      <c r="H21" s="151" t="s">
        <v>363</v>
      </c>
      <c r="I21" s="151" t="s">
        <v>364</v>
      </c>
      <c r="J21" s="30"/>
    </row>
    <row r="22" spans="3:10" ht="15.6" x14ac:dyDescent="0.6">
      <c r="C22" s="151" t="s">
        <v>49</v>
      </c>
      <c r="D22" s="151" t="s">
        <v>50</v>
      </c>
      <c r="E22" s="151"/>
      <c r="H22" s="151" t="s">
        <v>0</v>
      </c>
      <c r="I22" s="151" t="s">
        <v>58</v>
      </c>
      <c r="J22" s="30"/>
    </row>
    <row r="23" spans="3:10" ht="15.6" x14ac:dyDescent="0.6">
      <c r="C23" s="151" t="s">
        <v>54</v>
      </c>
      <c r="D23" s="151" t="s">
        <v>65</v>
      </c>
      <c r="E23" s="152"/>
      <c r="H23" s="151" t="s">
        <v>337</v>
      </c>
      <c r="I23" s="151" t="s">
        <v>338</v>
      </c>
      <c r="J23" s="30"/>
    </row>
    <row r="24" spans="3:10" ht="15.6" x14ac:dyDescent="0.6">
      <c r="C24" s="151" t="s">
        <v>62</v>
      </c>
      <c r="D24" s="151" t="s">
        <v>63</v>
      </c>
      <c r="E24" s="152"/>
      <c r="H24" s="151" t="s">
        <v>414</v>
      </c>
      <c r="I24" s="151" t="s">
        <v>415</v>
      </c>
    </row>
    <row r="25" spans="3:10" ht="15.6" x14ac:dyDescent="0.6">
      <c r="C25" s="151" t="s">
        <v>367</v>
      </c>
      <c r="D25" s="151" t="s">
        <v>368</v>
      </c>
      <c r="H25" s="151" t="s">
        <v>365</v>
      </c>
      <c r="I25" s="151" t="s">
        <v>366</v>
      </c>
    </row>
  </sheetData>
  <sheetProtection algorithmName="SHA-512" hashValue="MdknXrJrceP2si81VVGiGwQozwGnsQXRVlVUxgq26EitzpkSHQTCqPNWfvhBZXdln8zupac+ft6EYDEOENdK4g==" saltValue="6wghROcjQ5BMtqBpf69YxQ==" spinCount="100000" sheet="1" objects="1" scenarios="1"/>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249977111117893"/>
  </sheetPr>
  <dimension ref="A6:E46"/>
  <sheetViews>
    <sheetView zoomScale="70" zoomScaleNormal="70" workbookViewId="0">
      <pane ySplit="3" topLeftCell="A4" activePane="bottomLeft" state="frozen"/>
      <selection pane="bottomLeft" activeCell="A13" sqref="A13"/>
    </sheetView>
  </sheetViews>
  <sheetFormatPr defaultColWidth="9.15625" defaultRowHeight="15.6" x14ac:dyDescent="0.6"/>
  <cols>
    <col min="1" max="1" width="4.26171875" style="27" customWidth="1"/>
    <col min="2" max="2" width="7.26171875" style="32" customWidth="1"/>
    <col min="3" max="4" width="4.15625" style="32" customWidth="1"/>
    <col min="5" max="5" width="107.15625" style="33" customWidth="1"/>
    <col min="6" max="16384" width="9.15625" style="30"/>
  </cols>
  <sheetData>
    <row r="6" spans="1:5" s="31" customFormat="1" ht="22.15" customHeight="1" x14ac:dyDescent="0.55000000000000004">
      <c r="A6" s="27"/>
      <c r="B6" s="43" t="s">
        <v>164</v>
      </c>
      <c r="D6" s="41"/>
      <c r="E6" s="41"/>
    </row>
    <row r="7" spans="1:5" s="31" customFormat="1" ht="18.3" x14ac:dyDescent="0.55000000000000004">
      <c r="A7" s="27"/>
      <c r="B7" s="34"/>
      <c r="C7" s="41"/>
      <c r="D7" s="41"/>
      <c r="E7" s="41"/>
    </row>
    <row r="8" spans="1:5" ht="36" customHeight="1" x14ac:dyDescent="0.6">
      <c r="B8" s="35">
        <v>53</v>
      </c>
      <c r="C8" s="185" t="s">
        <v>77</v>
      </c>
      <c r="D8" s="185"/>
      <c r="E8" s="185"/>
    </row>
    <row r="9" spans="1:5" ht="51.6" customHeight="1" x14ac:dyDescent="0.6">
      <c r="B9" s="35"/>
      <c r="C9" s="32" t="s">
        <v>71</v>
      </c>
      <c r="D9" s="185" t="s">
        <v>78</v>
      </c>
      <c r="E9" s="185"/>
    </row>
    <row r="10" spans="1:5" ht="42" customHeight="1" x14ac:dyDescent="0.6">
      <c r="B10" s="35"/>
      <c r="C10" s="32" t="s">
        <v>72</v>
      </c>
      <c r="D10" s="185" t="s">
        <v>79</v>
      </c>
      <c r="E10" s="185"/>
    </row>
    <row r="11" spans="1:5" ht="49.9" customHeight="1" x14ac:dyDescent="0.6">
      <c r="B11" s="35">
        <v>54</v>
      </c>
      <c r="C11" s="185" t="s">
        <v>80</v>
      </c>
      <c r="D11" s="185"/>
      <c r="E11" s="185"/>
    </row>
    <row r="12" spans="1:5" ht="20.5" customHeight="1" x14ac:dyDescent="0.6">
      <c r="B12" s="35"/>
      <c r="C12" s="32" t="s">
        <v>71</v>
      </c>
      <c r="D12" s="185" t="s">
        <v>81</v>
      </c>
      <c r="E12" s="185"/>
    </row>
    <row r="13" spans="1:5" ht="30" customHeight="1" x14ac:dyDescent="0.6">
      <c r="B13" s="35"/>
      <c r="C13" s="32" t="s">
        <v>72</v>
      </c>
      <c r="D13" s="185" t="s">
        <v>82</v>
      </c>
      <c r="E13" s="185"/>
    </row>
    <row r="14" spans="1:5" ht="19.899999999999999" customHeight="1" x14ac:dyDescent="0.6">
      <c r="B14" s="35">
        <v>55</v>
      </c>
      <c r="C14" s="185" t="s">
        <v>83</v>
      </c>
      <c r="D14" s="185"/>
      <c r="E14" s="185"/>
    </row>
    <row r="15" spans="1:5" ht="18.600000000000001" customHeight="1" x14ac:dyDescent="0.6">
      <c r="B15" s="35"/>
      <c r="C15" s="32" t="s">
        <v>71</v>
      </c>
      <c r="D15" s="185" t="s">
        <v>84</v>
      </c>
      <c r="E15" s="185"/>
    </row>
    <row r="16" spans="1:5" x14ac:dyDescent="0.6">
      <c r="B16" s="35"/>
      <c r="D16" s="32" t="s">
        <v>73</v>
      </c>
      <c r="E16" s="36" t="s">
        <v>85</v>
      </c>
    </row>
    <row r="17" spans="1:5" ht="31.2" x14ac:dyDescent="0.6">
      <c r="B17" s="35"/>
      <c r="D17" s="32" t="s">
        <v>74</v>
      </c>
      <c r="E17" s="36" t="s">
        <v>86</v>
      </c>
    </row>
    <row r="18" spans="1:5" ht="37.15" customHeight="1" x14ac:dyDescent="0.6">
      <c r="B18" s="35"/>
      <c r="D18" s="32" t="s">
        <v>75</v>
      </c>
      <c r="E18" s="36" t="s">
        <v>87</v>
      </c>
    </row>
    <row r="19" spans="1:5" ht="36.6" customHeight="1" x14ac:dyDescent="0.6">
      <c r="B19" s="35"/>
      <c r="C19" s="32" t="s">
        <v>72</v>
      </c>
      <c r="D19" s="185" t="s">
        <v>88</v>
      </c>
      <c r="E19" s="185"/>
    </row>
    <row r="20" spans="1:5" x14ac:dyDescent="0.6">
      <c r="A20" s="28"/>
      <c r="B20" s="35"/>
      <c r="D20" s="32" t="s">
        <v>73</v>
      </c>
      <c r="E20" s="37" t="s">
        <v>89</v>
      </c>
    </row>
    <row r="21" spans="1:5" ht="31.2" x14ac:dyDescent="0.6">
      <c r="B21" s="35"/>
      <c r="D21" s="32" t="s">
        <v>74</v>
      </c>
      <c r="E21" s="37" t="s">
        <v>90</v>
      </c>
    </row>
    <row r="22" spans="1:5" ht="49.9" customHeight="1" x14ac:dyDescent="0.6">
      <c r="B22" s="35"/>
      <c r="D22" s="32" t="s">
        <v>75</v>
      </c>
      <c r="E22" s="36" t="s">
        <v>91</v>
      </c>
    </row>
    <row r="23" spans="1:5" x14ac:dyDescent="0.6">
      <c r="B23" s="35"/>
      <c r="D23" s="32" t="s">
        <v>92</v>
      </c>
      <c r="E23" s="36" t="s">
        <v>93</v>
      </c>
    </row>
    <row r="24" spans="1:5" ht="18" customHeight="1" x14ac:dyDescent="0.6">
      <c r="B24" s="35"/>
      <c r="D24" s="32" t="s">
        <v>94</v>
      </c>
      <c r="E24" s="36" t="s">
        <v>95</v>
      </c>
    </row>
    <row r="25" spans="1:5" ht="29.5" customHeight="1" x14ac:dyDescent="0.6">
      <c r="B25" s="35"/>
      <c r="D25" s="32" t="s">
        <v>97</v>
      </c>
      <c r="E25" s="36" t="s">
        <v>98</v>
      </c>
    </row>
    <row r="26" spans="1:5" ht="105.6" customHeight="1" x14ac:dyDescent="0.6">
      <c r="B26" s="35">
        <v>56</v>
      </c>
      <c r="C26" s="185" t="s">
        <v>99</v>
      </c>
      <c r="D26" s="185"/>
      <c r="E26" s="185"/>
    </row>
    <row r="27" spans="1:5" ht="33.6" customHeight="1" x14ac:dyDescent="0.6">
      <c r="B27" s="35">
        <v>57</v>
      </c>
      <c r="C27" s="185" t="s">
        <v>100</v>
      </c>
      <c r="D27" s="185"/>
      <c r="E27" s="185"/>
    </row>
    <row r="28" spans="1:5" ht="18.600000000000001" customHeight="1" x14ac:dyDescent="0.6">
      <c r="B28" s="35"/>
      <c r="C28" s="32" t="s">
        <v>71</v>
      </c>
      <c r="D28" s="185" t="s">
        <v>101</v>
      </c>
      <c r="E28" s="185"/>
    </row>
    <row r="29" spans="1:5" ht="26.5" customHeight="1" x14ac:dyDescent="0.6">
      <c r="B29" s="35"/>
      <c r="C29" s="186" t="s">
        <v>72</v>
      </c>
      <c r="D29" s="185" t="s">
        <v>102</v>
      </c>
      <c r="E29" s="185"/>
    </row>
    <row r="30" spans="1:5" ht="46.9" customHeight="1" x14ac:dyDescent="0.6">
      <c r="B30" s="35"/>
      <c r="C30" s="186"/>
      <c r="D30" s="185"/>
      <c r="E30" s="185"/>
    </row>
    <row r="31" spans="1:5" ht="38.5" customHeight="1" x14ac:dyDescent="0.6">
      <c r="B31" s="35">
        <v>58</v>
      </c>
      <c r="C31" s="185" t="s">
        <v>103</v>
      </c>
      <c r="D31" s="185"/>
      <c r="E31" s="185"/>
    </row>
    <row r="32" spans="1:5" ht="20.5" customHeight="1" x14ac:dyDescent="0.6">
      <c r="B32" s="35">
        <v>59</v>
      </c>
      <c r="C32" s="185" t="s">
        <v>104</v>
      </c>
      <c r="D32" s="185"/>
      <c r="E32" s="185"/>
    </row>
    <row r="33" spans="1:5" ht="34.9" customHeight="1" x14ac:dyDescent="0.6">
      <c r="B33" s="35"/>
      <c r="C33" s="32" t="s">
        <v>71</v>
      </c>
      <c r="D33" s="185" t="s">
        <v>105</v>
      </c>
      <c r="E33" s="185"/>
    </row>
    <row r="34" spans="1:5" ht="30" customHeight="1" x14ac:dyDescent="0.6">
      <c r="B34" s="35"/>
      <c r="C34" s="186" t="s">
        <v>72</v>
      </c>
      <c r="D34" s="185" t="s">
        <v>106</v>
      </c>
      <c r="E34" s="185"/>
    </row>
    <row r="35" spans="1:5" ht="45" customHeight="1" x14ac:dyDescent="0.6">
      <c r="B35" s="35"/>
      <c r="C35" s="186"/>
      <c r="D35" s="185"/>
      <c r="E35" s="185"/>
    </row>
    <row r="37" spans="1:5" ht="18" customHeight="1" x14ac:dyDescent="0.6">
      <c r="B37" s="44" t="s">
        <v>117</v>
      </c>
      <c r="C37" s="30"/>
      <c r="D37" s="42"/>
      <c r="E37" s="42"/>
    </row>
    <row r="38" spans="1:5" s="31" customFormat="1" ht="22.15" customHeight="1" x14ac:dyDescent="0.55000000000000004">
      <c r="A38" s="27"/>
      <c r="B38" s="34"/>
    </row>
    <row r="39" spans="1:5" ht="17.5" customHeight="1" x14ac:dyDescent="0.6">
      <c r="B39" s="38" t="s">
        <v>76</v>
      </c>
      <c r="C39" s="185" t="s">
        <v>107</v>
      </c>
      <c r="D39" s="185"/>
      <c r="E39" s="185"/>
    </row>
    <row r="40" spans="1:5" ht="18" customHeight="1" x14ac:dyDescent="0.6">
      <c r="B40" s="39"/>
      <c r="C40" s="40" t="s">
        <v>71</v>
      </c>
      <c r="D40" s="185" t="s">
        <v>108</v>
      </c>
      <c r="E40" s="185"/>
    </row>
    <row r="41" spans="1:5" ht="23.5" customHeight="1" x14ac:dyDescent="0.6">
      <c r="B41" s="39"/>
      <c r="C41" s="40" t="s">
        <v>72</v>
      </c>
      <c r="D41" s="185" t="s">
        <v>109</v>
      </c>
      <c r="E41" s="185"/>
    </row>
    <row r="42" spans="1:5" ht="53.5" customHeight="1" x14ac:dyDescent="0.6">
      <c r="B42" s="38" t="s">
        <v>110</v>
      </c>
      <c r="C42" s="185" t="s">
        <v>111</v>
      </c>
      <c r="D42" s="185"/>
      <c r="E42" s="185"/>
    </row>
    <row r="43" spans="1:5" x14ac:dyDescent="0.6">
      <c r="B43" s="38" t="s">
        <v>96</v>
      </c>
      <c r="C43" s="185" t="s">
        <v>112</v>
      </c>
      <c r="D43" s="185"/>
      <c r="E43" s="185"/>
    </row>
    <row r="44" spans="1:5" ht="21" customHeight="1" x14ac:dyDescent="0.6">
      <c r="B44" s="39"/>
      <c r="C44" s="40" t="s">
        <v>71</v>
      </c>
      <c r="D44" s="185" t="s">
        <v>113</v>
      </c>
      <c r="E44" s="185"/>
    </row>
    <row r="45" spans="1:5" ht="36.6" customHeight="1" x14ac:dyDescent="0.6">
      <c r="B45" s="39"/>
      <c r="C45" s="40" t="s">
        <v>72</v>
      </c>
      <c r="D45" s="185" t="s">
        <v>114</v>
      </c>
      <c r="E45" s="185"/>
    </row>
    <row r="46" spans="1:5" ht="36" customHeight="1" x14ac:dyDescent="0.6">
      <c r="B46" s="38" t="s">
        <v>115</v>
      </c>
      <c r="C46" s="185" t="s">
        <v>116</v>
      </c>
      <c r="D46" s="185"/>
      <c r="E46" s="185"/>
    </row>
  </sheetData>
  <sheetProtection algorithmName="SHA-512" hashValue="qzdDxaIfeH1QPZV39ZGc1x6+Vx2+VaL3OJqPidSFtV6ODfXWwsMAmFfCIkSHaCClfIhLK4ua/0/Z4O/Bh+Ysag==" saltValue="4FYRUyjqArlmdUtNfQwnIg==" spinCount="100000" sheet="1" objects="1" scenarios="1"/>
  <mergeCells count="27">
    <mergeCell ref="C29:C30"/>
    <mergeCell ref="D29:E30"/>
    <mergeCell ref="C31:E31"/>
    <mergeCell ref="C42:E42"/>
    <mergeCell ref="C39:E39"/>
    <mergeCell ref="D40:E40"/>
    <mergeCell ref="D41:E41"/>
    <mergeCell ref="C32:E32"/>
    <mergeCell ref="D33:E33"/>
    <mergeCell ref="C34:C35"/>
    <mergeCell ref="D34:E35"/>
    <mergeCell ref="C46:E46"/>
    <mergeCell ref="C8:E8"/>
    <mergeCell ref="C11:E11"/>
    <mergeCell ref="C14:E14"/>
    <mergeCell ref="C43:E43"/>
    <mergeCell ref="D44:E44"/>
    <mergeCell ref="D45:E45"/>
    <mergeCell ref="D9:E9"/>
    <mergeCell ref="D10:E10"/>
    <mergeCell ref="D15:E15"/>
    <mergeCell ref="D19:E19"/>
    <mergeCell ref="C26:E26"/>
    <mergeCell ref="C27:E27"/>
    <mergeCell ref="D12:E12"/>
    <mergeCell ref="D13:E13"/>
    <mergeCell ref="D28:E2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vt:lpstr>
      <vt:lpstr>2 years</vt:lpstr>
      <vt:lpstr>3 years</vt:lpstr>
      <vt:lpstr>4 years</vt:lpstr>
      <vt:lpstr>5 years</vt:lpstr>
      <vt:lpstr>Instructions</vt:lpstr>
      <vt:lpstr>Checks</vt:lpstr>
      <vt:lpstr>Abbrev</vt:lpstr>
      <vt:lpstr>PAA Rules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SX</dc:creator>
  <cp:lastModifiedBy>Pawel Wozniak</cp:lastModifiedBy>
  <cp:lastPrinted>2019-04-13T18:37:34Z</cp:lastPrinted>
  <dcterms:created xsi:type="dcterms:W3CDTF">2019-03-22T11:58:00Z</dcterms:created>
  <dcterms:modified xsi:type="dcterms:W3CDTF">2022-06-19T14:44:22Z</dcterms:modified>
</cp:coreProperties>
</file>